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2019 - 2022" sheetId="10" r:id="rId1"/>
  </sheets>
  <definedNames>
    <definedName name="_xlnm.Print_Titles" localSheetId="0">'2019 - 2022'!$7:$9</definedName>
    <definedName name="_xlnm.Print_Area" localSheetId="0">'2019 - 2022'!$B$1:$O$177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2" i="10" l="1"/>
  <c r="M50" i="10" l="1"/>
  <c r="M120" i="10" l="1"/>
  <c r="M119" i="10"/>
  <c r="M25" i="10"/>
  <c r="J17" i="10" l="1"/>
  <c r="K17" i="10"/>
  <c r="M17" i="10"/>
  <c r="N17" i="10"/>
  <c r="O17" i="10"/>
  <c r="J18" i="10"/>
  <c r="K18" i="10"/>
  <c r="M18" i="10"/>
  <c r="N18" i="10"/>
  <c r="O18" i="10"/>
  <c r="I19" i="10"/>
  <c r="J19" i="10"/>
  <c r="K19" i="10"/>
  <c r="L19" i="10"/>
  <c r="N19" i="10"/>
  <c r="O19" i="10"/>
  <c r="N20" i="10"/>
  <c r="O20" i="10"/>
  <c r="I21" i="10"/>
  <c r="J21" i="10"/>
  <c r="K21" i="10"/>
  <c r="L21" i="10"/>
  <c r="M21" i="10"/>
  <c r="N21" i="10"/>
  <c r="O21" i="10"/>
  <c r="H18" i="10"/>
  <c r="H19" i="10"/>
  <c r="H21" i="10"/>
  <c r="J107" i="10"/>
  <c r="N107" i="10"/>
  <c r="O107" i="10"/>
  <c r="J108" i="10"/>
  <c r="N108" i="10"/>
  <c r="O108" i="10"/>
  <c r="I109" i="10"/>
  <c r="K109" i="10"/>
  <c r="M109" i="10"/>
  <c r="N109" i="10"/>
  <c r="O109" i="10"/>
  <c r="N110" i="10"/>
  <c r="O110" i="10"/>
  <c r="I111" i="10"/>
  <c r="J111" i="10"/>
  <c r="K111" i="10"/>
  <c r="L111" i="10"/>
  <c r="M111" i="10"/>
  <c r="N111" i="10"/>
  <c r="O111" i="10"/>
  <c r="H111" i="10"/>
  <c r="H108" i="10"/>
  <c r="H109" i="10"/>
  <c r="G169" i="10"/>
  <c r="G23" i="10"/>
  <c r="G24" i="10"/>
  <c r="G27" i="10"/>
  <c r="G31" i="10"/>
  <c r="G32" i="10"/>
  <c r="G33" i="10"/>
  <c r="G37" i="10"/>
  <c r="G39" i="10"/>
  <c r="G41" i="10"/>
  <c r="G42" i="10"/>
  <c r="G43" i="10"/>
  <c r="G45" i="10"/>
  <c r="G47" i="10"/>
  <c r="G48" i="10"/>
  <c r="G49" i="10"/>
  <c r="G51" i="10"/>
  <c r="G53" i="10"/>
  <c r="G54" i="10"/>
  <c r="G55" i="10"/>
  <c r="G57" i="10"/>
  <c r="G59" i="10"/>
  <c r="G60" i="10"/>
  <c r="G61" i="10"/>
  <c r="G63" i="10"/>
  <c r="G65" i="10"/>
  <c r="G66" i="10"/>
  <c r="G67" i="10"/>
  <c r="G69" i="10"/>
  <c r="G71" i="10"/>
  <c r="G72" i="10"/>
  <c r="G73" i="10"/>
  <c r="G75" i="10"/>
  <c r="G77" i="10"/>
  <c r="G78" i="10"/>
  <c r="G79" i="10"/>
  <c r="G81" i="10"/>
  <c r="G83" i="10"/>
  <c r="G84" i="10"/>
  <c r="G85" i="10"/>
  <c r="G87" i="10"/>
  <c r="G89" i="10"/>
  <c r="G91" i="10"/>
  <c r="G93" i="10"/>
  <c r="G95" i="10"/>
  <c r="G96" i="10"/>
  <c r="G97" i="10"/>
  <c r="G98" i="10"/>
  <c r="G99" i="10"/>
  <c r="G101" i="10"/>
  <c r="G102" i="10"/>
  <c r="G103" i="10"/>
  <c r="G105" i="10"/>
  <c r="G113" i="10"/>
  <c r="G114" i="10"/>
  <c r="G115" i="10"/>
  <c r="G116" i="10"/>
  <c r="G117" i="10"/>
  <c r="G123" i="10"/>
  <c r="G127" i="10"/>
  <c r="G129" i="10"/>
  <c r="G131" i="10"/>
  <c r="G132" i="10"/>
  <c r="G133" i="10"/>
  <c r="G135" i="10"/>
  <c r="G137" i="10"/>
  <c r="G138" i="10"/>
  <c r="G139" i="10"/>
  <c r="G140" i="10"/>
  <c r="G141" i="10"/>
  <c r="G145" i="10"/>
  <c r="G146" i="10"/>
  <c r="G147" i="10"/>
  <c r="G151" i="10"/>
  <c r="G152" i="10"/>
  <c r="G153" i="10"/>
  <c r="G155" i="10"/>
  <c r="G156" i="10"/>
  <c r="G157" i="10"/>
  <c r="G158" i="10"/>
  <c r="G159" i="10"/>
  <c r="G161" i="10"/>
  <c r="G162" i="10"/>
  <c r="G165" i="10"/>
  <c r="G167" i="10"/>
  <c r="G168" i="10"/>
  <c r="G170" i="10"/>
  <c r="G171" i="10"/>
  <c r="I22" i="10"/>
  <c r="J22" i="10"/>
  <c r="K22" i="10"/>
  <c r="L22" i="10"/>
  <c r="N22" i="10"/>
  <c r="O22" i="10"/>
  <c r="H22" i="10"/>
  <c r="I28" i="10"/>
  <c r="J28" i="10"/>
  <c r="K28" i="10"/>
  <c r="M28" i="10"/>
  <c r="N28" i="10"/>
  <c r="O28" i="10"/>
  <c r="H28" i="10"/>
  <c r="J34" i="10"/>
  <c r="M34" i="10"/>
  <c r="N34" i="10"/>
  <c r="O34" i="10"/>
  <c r="I40" i="10"/>
  <c r="J40" i="10"/>
  <c r="L40" i="10"/>
  <c r="M40" i="10"/>
  <c r="N40" i="10"/>
  <c r="O40" i="10"/>
  <c r="H40" i="10"/>
  <c r="I46" i="10"/>
  <c r="J46" i="10"/>
  <c r="L46" i="10"/>
  <c r="M46" i="10"/>
  <c r="N46" i="10"/>
  <c r="O46" i="10"/>
  <c r="K52" i="10"/>
  <c r="L52" i="10"/>
  <c r="M52" i="10"/>
  <c r="N52" i="10"/>
  <c r="O52" i="10"/>
  <c r="K58" i="10"/>
  <c r="L58" i="10"/>
  <c r="M58" i="10"/>
  <c r="N58" i="10"/>
  <c r="O58" i="10"/>
  <c r="H58" i="10"/>
  <c r="I64" i="10"/>
  <c r="L64" i="10"/>
  <c r="M64" i="10"/>
  <c r="N64" i="10"/>
  <c r="O64" i="10"/>
  <c r="H64" i="10"/>
  <c r="I70" i="10"/>
  <c r="J70" i="10"/>
  <c r="M70" i="10"/>
  <c r="N70" i="10"/>
  <c r="O70" i="10"/>
  <c r="H70" i="10"/>
  <c r="J76" i="10"/>
  <c r="K76" i="10"/>
  <c r="M76" i="10"/>
  <c r="N76" i="10"/>
  <c r="O76" i="10"/>
  <c r="L82" i="10"/>
  <c r="M82" i="10"/>
  <c r="N82" i="10"/>
  <c r="O82" i="10"/>
  <c r="H82" i="10"/>
  <c r="L88" i="10"/>
  <c r="M88" i="10"/>
  <c r="N88" i="10"/>
  <c r="O88" i="10"/>
  <c r="H88" i="10"/>
  <c r="I94" i="10"/>
  <c r="J94" i="10"/>
  <c r="K94" i="10"/>
  <c r="L94" i="10"/>
  <c r="M94" i="10"/>
  <c r="N94" i="10"/>
  <c r="O94" i="10"/>
  <c r="H94" i="10"/>
  <c r="I100" i="10"/>
  <c r="K100" i="10"/>
  <c r="L100" i="10"/>
  <c r="M100" i="10"/>
  <c r="N100" i="10"/>
  <c r="O100" i="10"/>
  <c r="H100" i="10"/>
  <c r="I112" i="10"/>
  <c r="J112" i="10"/>
  <c r="K112" i="10"/>
  <c r="L112" i="10"/>
  <c r="M112" i="10"/>
  <c r="N112" i="10"/>
  <c r="O112" i="10"/>
  <c r="H112" i="10"/>
  <c r="N118" i="10"/>
  <c r="O118" i="10"/>
  <c r="M124" i="10"/>
  <c r="N124" i="10"/>
  <c r="O124" i="10"/>
  <c r="I130" i="10"/>
  <c r="K130" i="10"/>
  <c r="L130" i="10"/>
  <c r="M130" i="10"/>
  <c r="N130" i="10"/>
  <c r="O130" i="10"/>
  <c r="H130" i="10"/>
  <c r="I136" i="10"/>
  <c r="J136" i="10"/>
  <c r="K136" i="10"/>
  <c r="L136" i="10"/>
  <c r="M136" i="10"/>
  <c r="N136" i="10"/>
  <c r="O136" i="10"/>
  <c r="H136" i="10"/>
  <c r="J142" i="10"/>
  <c r="K142" i="10"/>
  <c r="L142" i="10"/>
  <c r="M142" i="10"/>
  <c r="N142" i="10"/>
  <c r="O142" i="10"/>
  <c r="H142" i="10"/>
  <c r="J148" i="10"/>
  <c r="K148" i="10"/>
  <c r="L148" i="10"/>
  <c r="M148" i="10"/>
  <c r="N148" i="10"/>
  <c r="O148" i="10"/>
  <c r="H148" i="10"/>
  <c r="O154" i="10"/>
  <c r="N154" i="10"/>
  <c r="M154" i="10"/>
  <c r="L154" i="10"/>
  <c r="K154" i="10"/>
  <c r="J154" i="10"/>
  <c r="I154" i="10"/>
  <c r="H154" i="10"/>
  <c r="I160" i="10"/>
  <c r="K160" i="10"/>
  <c r="L160" i="10"/>
  <c r="N160" i="10"/>
  <c r="O160" i="10"/>
  <c r="H160" i="10"/>
  <c r="I166" i="10"/>
  <c r="J166" i="10"/>
  <c r="K166" i="10"/>
  <c r="L166" i="10"/>
  <c r="M166" i="10"/>
  <c r="N166" i="10"/>
  <c r="O166" i="10"/>
  <c r="H166" i="10"/>
  <c r="N106" i="10" l="1"/>
  <c r="O106" i="10"/>
  <c r="O174" i="10"/>
  <c r="N173" i="10"/>
  <c r="O176" i="10"/>
  <c r="N175" i="10"/>
  <c r="K175" i="10"/>
  <c r="N174" i="10"/>
  <c r="O16" i="10"/>
  <c r="N16" i="10"/>
  <c r="H174" i="10"/>
  <c r="N177" i="10"/>
  <c r="H175" i="10"/>
  <c r="G166" i="10"/>
  <c r="G136" i="10"/>
  <c r="J173" i="10"/>
  <c r="G94" i="10"/>
  <c r="O177" i="10"/>
  <c r="G112" i="10"/>
  <c r="G154" i="10"/>
  <c r="O175" i="10"/>
  <c r="J174" i="10"/>
  <c r="O173" i="10"/>
  <c r="N176" i="10"/>
  <c r="I175" i="10"/>
  <c r="O172" i="10" l="1"/>
  <c r="N172" i="10"/>
  <c r="M107" i="10"/>
  <c r="M108" i="10" l="1"/>
  <c r="M174" i="10" s="1"/>
  <c r="M173" i="10"/>
  <c r="M118" i="10"/>
  <c r="M19" i="10"/>
  <c r="M26" i="10"/>
  <c r="G26" i="10" l="1"/>
  <c r="M20" i="10"/>
  <c r="G19" i="10"/>
  <c r="M175" i="10"/>
  <c r="G25" i="10"/>
  <c r="M22" i="10"/>
  <c r="M164" i="10"/>
  <c r="M110" i="10" s="1"/>
  <c r="G22" i="10" l="1"/>
  <c r="M16" i="10"/>
  <c r="G164" i="10"/>
  <c r="M160" i="10"/>
  <c r="M106" i="10" s="1"/>
  <c r="M176" i="10"/>
  <c r="M177" i="10" l="1"/>
  <c r="M172" i="10"/>
  <c r="L38" i="10"/>
  <c r="L34" i="10" l="1"/>
  <c r="L74" i="10"/>
  <c r="L70" i="10" s="1"/>
  <c r="L29" i="10"/>
  <c r="L17" i="10" s="1"/>
  <c r="L30" i="10"/>
  <c r="G30" i="10" l="1"/>
  <c r="L18" i="10"/>
  <c r="G29" i="10"/>
  <c r="L28" i="10"/>
  <c r="L128" i="10"/>
  <c r="L124" i="10" s="1"/>
  <c r="L121" i="10"/>
  <c r="L120" i="10"/>
  <c r="L108" i="10" s="1"/>
  <c r="L119" i="10"/>
  <c r="L107" i="10" s="1"/>
  <c r="L80" i="10"/>
  <c r="L109" i="10" l="1"/>
  <c r="L175" i="10" s="1"/>
  <c r="L76" i="10"/>
  <c r="L16" i="10" s="1"/>
  <c r="L20" i="10"/>
  <c r="G28" i="10"/>
  <c r="L173" i="10"/>
  <c r="L174" i="10"/>
  <c r="N10" i="10"/>
  <c r="L122" i="10"/>
  <c r="L110" i="10" l="1"/>
  <c r="L176" i="10" s="1"/>
  <c r="L118" i="10"/>
  <c r="L106" i="10" s="1"/>
  <c r="L177" i="10" l="1"/>
  <c r="L172" i="10"/>
  <c r="K122" i="10"/>
  <c r="K120" i="10"/>
  <c r="K119" i="10"/>
  <c r="K107" i="10" s="1"/>
  <c r="K108" i="10" l="1"/>
  <c r="K174" i="10" s="1"/>
  <c r="G122" i="10"/>
  <c r="K173" i="10"/>
  <c r="K118" i="10"/>
  <c r="K50" i="10"/>
  <c r="K46" i="10" s="1"/>
  <c r="K74" i="10" l="1"/>
  <c r="K92" i="10"/>
  <c r="K88" i="10" s="1"/>
  <c r="K128" i="10"/>
  <c r="K110" i="10" s="1"/>
  <c r="K38" i="10"/>
  <c r="K68" i="10"/>
  <c r="K64" i="10" s="1"/>
  <c r="K34" i="10" l="1"/>
  <c r="G74" i="10"/>
  <c r="K70" i="10"/>
  <c r="G70" i="10" s="1"/>
  <c r="K124" i="10"/>
  <c r="K106" i="10" s="1"/>
  <c r="K44" i="10"/>
  <c r="K86" i="10"/>
  <c r="K82" i="10" s="1"/>
  <c r="J56" i="10"/>
  <c r="J128" i="10"/>
  <c r="J134" i="10"/>
  <c r="J121" i="10"/>
  <c r="J163" i="10"/>
  <c r="J104" i="10"/>
  <c r="J92" i="10"/>
  <c r="J88" i="10" s="1"/>
  <c r="J86" i="10"/>
  <c r="J82" i="10" s="1"/>
  <c r="J62" i="10"/>
  <c r="J58" i="10" s="1"/>
  <c r="J68" i="10"/>
  <c r="I86" i="10"/>
  <c r="H50" i="10"/>
  <c r="I38" i="10"/>
  <c r="H38" i="10"/>
  <c r="M10" i="10"/>
  <c r="L10" i="10"/>
  <c r="I144" i="10"/>
  <c r="G144" i="10" s="1"/>
  <c r="I143" i="10"/>
  <c r="I126" i="10"/>
  <c r="G126" i="10" s="1"/>
  <c r="I125" i="10"/>
  <c r="I128" i="10"/>
  <c r="H128" i="10"/>
  <c r="H110" i="10" s="1"/>
  <c r="I120" i="10"/>
  <c r="I119" i="10"/>
  <c r="H119" i="10"/>
  <c r="H107" i="10" s="1"/>
  <c r="I80" i="10"/>
  <c r="I76" i="10" s="1"/>
  <c r="H80" i="10"/>
  <c r="I62" i="10"/>
  <c r="I56" i="10"/>
  <c r="I52" i="10" s="1"/>
  <c r="H56" i="10"/>
  <c r="H35" i="10"/>
  <c r="H17" i="10" s="1"/>
  <c r="I36" i="10"/>
  <c r="I35" i="10"/>
  <c r="I17" i="10" s="1"/>
  <c r="I150" i="10"/>
  <c r="G150" i="10" s="1"/>
  <c r="I149" i="10"/>
  <c r="I90" i="10"/>
  <c r="I92" i="10"/>
  <c r="G92" i="10" s="1"/>
  <c r="G14" i="10"/>
  <c r="G13" i="10"/>
  <c r="G12" i="10"/>
  <c r="G11" i="10"/>
  <c r="O10" i="10"/>
  <c r="I10" i="10"/>
  <c r="H10" i="10"/>
  <c r="I107" i="10" l="1"/>
  <c r="J109" i="10"/>
  <c r="K20" i="10"/>
  <c r="K176" i="10" s="1"/>
  <c r="G17" i="10"/>
  <c r="I108" i="10"/>
  <c r="G38" i="10"/>
  <c r="H20" i="10"/>
  <c r="J110" i="10"/>
  <c r="I110" i="10"/>
  <c r="G36" i="10"/>
  <c r="I18" i="10"/>
  <c r="G18" i="10" s="1"/>
  <c r="I20" i="10"/>
  <c r="J52" i="10"/>
  <c r="J20" i="10"/>
  <c r="G62" i="10"/>
  <c r="I58" i="10"/>
  <c r="G58" i="10" s="1"/>
  <c r="I124" i="10"/>
  <c r="G125" i="10"/>
  <c r="G86" i="10"/>
  <c r="I82" i="10"/>
  <c r="G82" i="10" s="1"/>
  <c r="G134" i="10"/>
  <c r="J130" i="10"/>
  <c r="G130" i="10" s="1"/>
  <c r="G35" i="10"/>
  <c r="H34" i="10"/>
  <c r="H76" i="10"/>
  <c r="G76" i="10" s="1"/>
  <c r="G80" i="10"/>
  <c r="G120" i="10"/>
  <c r="J64" i="10"/>
  <c r="G64" i="10" s="1"/>
  <c r="G68" i="10"/>
  <c r="J100" i="10"/>
  <c r="G100" i="10" s="1"/>
  <c r="G104" i="10"/>
  <c r="J124" i="10"/>
  <c r="G90" i="10"/>
  <c r="I88" i="10"/>
  <c r="G88" i="10" s="1"/>
  <c r="H52" i="10"/>
  <c r="G56" i="10"/>
  <c r="G128" i="10"/>
  <c r="H124" i="10"/>
  <c r="G143" i="10"/>
  <c r="I142" i="10"/>
  <c r="G142" i="10" s="1"/>
  <c r="J160" i="10"/>
  <c r="G160" i="10" s="1"/>
  <c r="G163" i="10"/>
  <c r="K177" i="10"/>
  <c r="G149" i="10"/>
  <c r="I148" i="10"/>
  <c r="G148" i="10" s="1"/>
  <c r="I173" i="10"/>
  <c r="I118" i="10"/>
  <c r="K40" i="10"/>
  <c r="G44" i="10"/>
  <c r="G111" i="10"/>
  <c r="I34" i="10"/>
  <c r="G119" i="10"/>
  <c r="H118" i="10"/>
  <c r="G50" i="10"/>
  <c r="H46" i="10"/>
  <c r="G46" i="10" s="1"/>
  <c r="J118" i="10"/>
  <c r="J106" i="10" s="1"/>
  <c r="G121" i="10"/>
  <c r="G10" i="10"/>
  <c r="I16" i="10" l="1"/>
  <c r="H106" i="10"/>
  <c r="I176" i="10"/>
  <c r="J176" i="10"/>
  <c r="G20" i="10"/>
  <c r="G52" i="10"/>
  <c r="I106" i="10"/>
  <c r="G106" i="10" s="1"/>
  <c r="G124" i="10"/>
  <c r="J16" i="10"/>
  <c r="H16" i="10"/>
  <c r="G40" i="10"/>
  <c r="K16" i="10"/>
  <c r="K172" i="10" s="1"/>
  <c r="G34" i="10"/>
  <c r="G118" i="10"/>
  <c r="G109" i="10"/>
  <c r="J175" i="10"/>
  <c r="G175" i="10" s="1"/>
  <c r="H173" i="10"/>
  <c r="G173" i="10" s="1"/>
  <c r="G107" i="10"/>
  <c r="G110" i="10"/>
  <c r="H176" i="10"/>
  <c r="G176" i="10" s="1"/>
  <c r="I174" i="10"/>
  <c r="G174" i="10" s="1"/>
  <c r="G108" i="10"/>
  <c r="G16" i="10" l="1"/>
  <c r="I172" i="10"/>
  <c r="G172" i="10" s="1"/>
  <c r="I177" i="10"/>
  <c r="H177" i="10"/>
  <c r="H172" i="10"/>
  <c r="J177" i="10"/>
  <c r="J172" i="10"/>
  <c r="G177" i="10" l="1"/>
  <c r="G21" i="10"/>
</calcChain>
</file>

<file path=xl/sharedStrings.xml><?xml version="1.0" encoding="utf-8"?>
<sst xmlns="http://schemas.openxmlformats.org/spreadsheetml/2006/main" count="278" uniqueCount="90">
  <si>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</si>
  <si>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</si>
  <si>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</si>
  <si>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</si>
  <si>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</si>
  <si>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</si>
  <si>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</si>
  <si>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</si>
  <si>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</si>
  <si>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</si>
  <si>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</si>
  <si>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</si>
  <si>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</si>
  <si>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</si>
  <si>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</si>
  <si>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</si>
  <si>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</si>
  <si>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</si>
  <si>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</si>
  <si>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</si>
  <si>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</si>
  <si>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</si>
  <si>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</si>
  <si>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</si>
  <si>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</si>
  <si>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</si>
  <si>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</si>
  <si>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</si>
  <si>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</si>
  <si>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</si>
  <si>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</si>
  <si>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</si>
  <si>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</si>
  <si>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</si>
  <si>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</si>
  <si>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</si>
  <si>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</si>
  <si>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</si>
  <si>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</si>
  <si>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</si>
  <si>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</si>
  <si>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</si>
  <si>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</si>
  <si>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</si>
  <si>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</si>
  <si>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</si>
  <si>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</si>
  <si>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</si>
  <si>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</si>
  <si>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</si>
  <si>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</si>
  <si>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</si>
  <si>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</si>
  <si>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</si>
  <si>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</si>
  <si>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</si>
  <si>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</si>
  <si>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</si>
  <si>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</si>
  <si>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</si>
  <si>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</si>
  <si>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</si>
  <si>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</si>
  <si>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</si>
  <si>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</si>
  <si>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</si>
  <si>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</si>
  <si>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 xml:space="preserve">  </t>
  </si>
  <si>
    <t>2018-2022</t>
  </si>
  <si>
    <t>2018-2023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</si>
  <si>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</si>
  <si>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</si>
  <si>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</si>
  <si>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</si>
  <si>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</si>
  <si>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</si>
  <si>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>2018-2020</t>
  </si>
  <si>
    <t xml:space="preserve">Ремонт (текущий ремонт) контейнерных площадок
</t>
  </si>
  <si>
    <t>2020-2023</t>
  </si>
  <si>
    <t>2018, 2019, 2021, 2022</t>
  </si>
  <si>
    <t>2018, 2020-2023</t>
  </si>
  <si>
    <t>2018, 2020, 2021</t>
  </si>
  <si>
    <t>2018-2019, 2021-2022</t>
  </si>
  <si>
    <t>2018-2019, 2022-2023</t>
  </si>
  <si>
    <t>2018-2020, 2022</t>
  </si>
  <si>
    <t>2018, 2020, 2022</t>
  </si>
  <si>
    <t>2.10</t>
  </si>
  <si>
    <t>Благоустройство общественных территорий(в части обустройства контейнерных площадок для сбора ТКО)</t>
  </si>
  <si>
    <t>Расходы (тыс. рублей)</t>
  </si>
  <si>
    <t>Приложение
к постановлению администрации города Евпатории Республики Крым      от__________________№_____________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</si>
</sst>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000"/>
    <numFmt numFmtId="166" formatCode="#,##0.000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8" fillId="0" borderId="0" xfId="0" applyFont="1" applyFill="1"/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164" fontId="1" fillId="0" borderId="0" xfId="0" applyNumberFormat="1" applyFont="1" applyFill="1" applyAlignment="1">
      <alignment wrapText="1"/>
    </xf>
    <xf numFmtId="165" fontId="1" fillId="0" borderId="0" xfId="0" applyNumberFormat="1" applyFont="1" applyFill="1" applyAlignment="1">
      <alignment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right" vertical="center" wrapText="1"/>
    </xf>
    <xf numFmtId="166" fontId="9" fillId="0" borderId="9" xfId="0" applyNumberFormat="1" applyFont="1" applyFill="1" applyBorder="1" applyAlignment="1">
      <alignment horizontal="right" vertical="center" wrapText="1"/>
    </xf>
    <xf numFmtId="166" fontId="3" fillId="0" borderId="12" xfId="0" applyNumberFormat="1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166" fontId="3" fillId="0" borderId="31" xfId="0" applyNumberFormat="1" applyFont="1" applyFill="1" applyBorder="1" applyAlignment="1">
      <alignment horizontal="right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6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6" fontId="5" fillId="0" borderId="25" xfId="0" applyNumberFormat="1" applyFont="1" applyFill="1" applyBorder="1" applyAlignment="1">
      <alignment horizontal="right" vertical="center" wrapText="1"/>
    </xf>
    <xf numFmtId="166" fontId="5" fillId="0" borderId="26" xfId="0" applyNumberFormat="1" applyFont="1" applyFill="1" applyBorder="1" applyAlignment="1">
      <alignment horizontal="right" vertical="center" wrapText="1"/>
    </xf>
    <xf numFmtId="166" fontId="5" fillId="0" borderId="23" xfId="0" applyNumberFormat="1" applyFont="1" applyFill="1" applyBorder="1" applyAlignment="1">
      <alignment horizontal="right" vertical="center" wrapText="1"/>
    </xf>
    <xf numFmtId="166" fontId="5" fillId="0" borderId="27" xfId="0" applyNumberFormat="1" applyFont="1" applyFill="1" applyBorder="1" applyAlignment="1">
      <alignment horizontal="right" vertical="center" wrapText="1"/>
    </xf>
    <xf numFmtId="166" fontId="5" fillId="0" borderId="16" xfId="0" applyNumberFormat="1" applyFont="1" applyFill="1" applyBorder="1" applyAlignment="1">
      <alignment horizontal="right" vertical="center" wrapText="1"/>
    </xf>
    <xf numFmtId="166" fontId="5" fillId="0" borderId="8" xfId="0" applyNumberFormat="1" applyFont="1" applyFill="1" applyBorder="1" applyAlignment="1">
      <alignment horizontal="right" vertical="center" wrapText="1"/>
    </xf>
    <xf numFmtId="166" fontId="5" fillId="0" borderId="9" xfId="0" applyNumberFormat="1" applyFont="1" applyFill="1" applyBorder="1" applyAlignment="1">
      <alignment horizontal="right" vertical="center" wrapText="1"/>
    </xf>
    <xf numFmtId="166" fontId="5" fillId="0" borderId="29" xfId="0" applyNumberFormat="1" applyFont="1" applyFill="1" applyBorder="1" applyAlignment="1">
      <alignment horizontal="right" vertical="center" wrapText="1"/>
    </xf>
    <xf numFmtId="166" fontId="5" fillId="0" borderId="15" xfId="0" applyNumberFormat="1" applyFont="1" applyFill="1" applyBorder="1" applyAlignment="1">
      <alignment horizontal="right" vertical="center" wrapText="1"/>
    </xf>
    <xf numFmtId="166" fontId="5" fillId="0" borderId="11" xfId="0" applyNumberFormat="1" applyFont="1" applyFill="1" applyBorder="1" applyAlignment="1">
      <alignment horizontal="right" vertical="center" wrapText="1"/>
    </xf>
    <xf numFmtId="166" fontId="5" fillId="0" borderId="12" xfId="0" applyNumberFormat="1" applyFont="1" applyFill="1" applyBorder="1" applyAlignment="1">
      <alignment horizontal="right" vertical="center" wrapText="1"/>
    </xf>
    <xf numFmtId="166" fontId="5" fillId="0" borderId="37" xfId="0" applyNumberFormat="1" applyFont="1" applyFill="1" applyBorder="1" applyAlignment="1">
      <alignment horizontal="right" vertical="center" wrapText="1"/>
    </xf>
    <xf numFmtId="166" fontId="3" fillId="0" borderId="14" xfId="0" applyNumberFormat="1" applyFont="1" applyFill="1" applyBorder="1" applyAlignment="1">
      <alignment horizontal="right" vertical="center" wrapText="1"/>
    </xf>
    <xf numFmtId="166" fontId="3" fillId="0" borderId="5" xfId="0" applyNumberFormat="1" applyFont="1" applyFill="1" applyBorder="1" applyAlignment="1">
      <alignment horizontal="right" vertical="center" wrapText="1"/>
    </xf>
    <xf numFmtId="166" fontId="3" fillId="0" borderId="6" xfId="0" applyNumberFormat="1" applyFont="1" applyFill="1" applyBorder="1" applyAlignment="1">
      <alignment horizontal="right" vertical="center" wrapText="1"/>
    </xf>
    <xf numFmtId="166" fontId="3" fillId="0" borderId="39" xfId="0" applyNumberFormat="1" applyFont="1" applyFill="1" applyBorder="1" applyAlignment="1">
      <alignment horizontal="right" vertical="center" wrapText="1"/>
    </xf>
    <xf numFmtId="166" fontId="3" fillId="0" borderId="16" xfId="0" applyNumberFormat="1" applyFont="1" applyFill="1" applyBorder="1" applyAlignment="1">
      <alignment horizontal="right" vertical="center" wrapText="1"/>
    </xf>
    <xf numFmtId="166" fontId="3" fillId="0" borderId="8" xfId="0" applyNumberFormat="1" applyFont="1" applyFill="1" applyBorder="1" applyAlignment="1">
      <alignment horizontal="right" vertical="center" wrapText="1"/>
    </xf>
    <xf numFmtId="166" fontId="3" fillId="0" borderId="29" xfId="0" applyNumberFormat="1" applyFont="1" applyFill="1" applyBorder="1" applyAlignment="1">
      <alignment horizontal="right" vertical="center" wrapText="1"/>
    </xf>
    <xf numFmtId="166" fontId="3" fillId="0" borderId="15" xfId="0" applyNumberFormat="1" applyFont="1" applyFill="1" applyBorder="1" applyAlignment="1">
      <alignment horizontal="right" vertical="center" wrapText="1"/>
    </xf>
    <xf numFmtId="166" fontId="3" fillId="0" borderId="11" xfId="0" applyNumberFormat="1" applyFont="1" applyFill="1" applyBorder="1" applyAlignment="1">
      <alignment horizontal="right" vertical="center" wrapText="1"/>
    </xf>
    <xf numFmtId="166" fontId="3" fillId="0" borderId="37" xfId="0" applyNumberFormat="1" applyFont="1" applyFill="1" applyBorder="1" applyAlignment="1">
      <alignment horizontal="right" vertical="center" wrapText="1"/>
    </xf>
    <xf numFmtId="166" fontId="3" fillId="0" borderId="33" xfId="0" applyNumberFormat="1" applyFont="1" applyFill="1" applyBorder="1" applyAlignment="1">
      <alignment horizontal="right" vertical="center" wrapText="1"/>
    </xf>
    <xf numFmtId="166" fontId="3" fillId="0" borderId="34" xfId="0" applyNumberFormat="1" applyFont="1" applyFill="1" applyBorder="1" applyAlignment="1">
      <alignment horizontal="right" vertical="center" wrapText="1"/>
    </xf>
    <xf numFmtId="166" fontId="3" fillId="0" borderId="35" xfId="0" applyNumberFormat="1" applyFont="1" applyFill="1" applyBorder="1" applyAlignment="1">
      <alignment horizontal="right" vertical="center" wrapText="1"/>
    </xf>
    <xf numFmtId="166" fontId="5" fillId="0" borderId="33" xfId="0" applyNumberFormat="1" applyFont="1" applyFill="1" applyBorder="1" applyAlignment="1">
      <alignment horizontal="right" vertical="center" wrapText="1"/>
    </xf>
    <xf numFmtId="166" fontId="5" fillId="0" borderId="34" xfId="0" applyNumberFormat="1" applyFont="1" applyFill="1" applyBorder="1" applyAlignment="1">
      <alignment horizontal="right" vertical="center" wrapText="1"/>
    </xf>
    <xf numFmtId="166" fontId="5" fillId="0" borderId="31" xfId="0" applyNumberFormat="1" applyFont="1" applyFill="1" applyBorder="1" applyAlignment="1">
      <alignment horizontal="right" vertical="center" wrapText="1"/>
    </xf>
    <xf numFmtId="166" fontId="5" fillId="0" borderId="35" xfId="0" applyNumberFormat="1" applyFont="1" applyFill="1" applyBorder="1" applyAlignment="1">
      <alignment horizontal="right" vertical="center" wrapText="1"/>
    </xf>
    <xf numFmtId="0" fontId="3" fillId="0" borderId="40" xfId="0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>
      <alignment horizontal="center" vertical="center" wrapText="1"/>
    </xf>
    <xf numFmtId="164" fontId="3" fillId="0" borderId="42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0" fillId="0" borderId="28" xfId="0" applyFont="1" applyFill="1" applyBorder="1" applyAlignment="1">
      <alignment horizontal="center" vertical="top" wrapText="1"/>
    </xf>
    <xf numFmtId="0" fontId="0" fillId="0" borderId="3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top" wrapText="1"/>
    </xf>
    <xf numFmtId="0" fontId="11" fillId="0" borderId="28" xfId="0" applyFont="1" applyFill="1" applyBorder="1" applyAlignment="1">
      <alignment horizontal="center" vertical="top" wrapText="1"/>
    </xf>
    <xf numFmtId="0" fontId="11" fillId="0" borderId="36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1" fillId="0" borderId="44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1"/>
  <sheetViews>
    <sheetView tabSelected="1" zoomScale="80" zoomScaleNormal="80" zoomScaleSheetLayoutView="55" workbookViewId="0">
      <pane ySplit="8" topLeftCell="A103" activePane="bottomLeft" state="frozen"/>
      <selection pane="bottomLeft" activeCell="H7" sqref="H7:O7"/>
    </sheetView>
  </sheetViews>
  <sheetFormatPr defaultRowHeight="15.75" x14ac:dyDescent="0.25"/>
  <cols>
    <col min="1" max="1" width="2.85546875" style="3" customWidth="1"/>
    <col min="2" max="2" width="5.85546875" style="3" customWidth="1"/>
    <col min="3" max="3" width="33.7109375" style="4" customWidth="1"/>
    <col min="4" max="4" width="13.5703125" style="4" customWidth="1"/>
    <col min="5" max="5" width="15.42578125" style="4" customWidth="1"/>
    <col min="6" max="6" width="28.42578125" style="4" customWidth="1"/>
    <col min="7" max="12" width="17.5703125" style="4" customWidth="1"/>
    <col min="13" max="13" width="14.85546875" style="4" bestFit="1" customWidth="1"/>
    <col min="14" max="14" width="13.5703125" style="4" customWidth="1"/>
    <col min="15" max="15" width="15" style="3" customWidth="1"/>
    <col min="16" max="17" width="8.140625" style="5" bestFit="1" customWidth="1"/>
    <col min="18" max="16384" width="9.140625" style="5"/>
  </cols>
  <sheetData>
    <row r="1" spans="2:15" ht="30.75" customHeight="1" x14ac:dyDescent="0.25">
      <c r="H1" s="70" t="s">
        <v>89</v>
      </c>
      <c r="I1" s="70"/>
      <c r="J1" s="70"/>
      <c r="K1" s="70"/>
      <c r="L1" s="70"/>
      <c r="M1" s="70"/>
      <c r="N1" s="70"/>
      <c r="O1" s="70"/>
    </row>
    <row r="2" spans="2:15" ht="12" customHeight="1" x14ac:dyDescent="0.25">
      <c r="H2" s="6"/>
      <c r="I2" s="6"/>
      <c r="J2" s="6"/>
      <c r="K2" s="6"/>
      <c r="L2" s="6"/>
      <c r="M2" s="6"/>
      <c r="N2" s="6"/>
      <c r="O2" s="6"/>
    </row>
    <row r="3" spans="2:15" ht="35.25" customHeight="1" x14ac:dyDescent="0.25">
      <c r="H3" s="101" t="s">
        <v>64</v>
      </c>
      <c r="I3" s="101"/>
      <c r="J3" s="101"/>
      <c r="K3" s="101"/>
      <c r="L3" s="101"/>
      <c r="M3" s="101"/>
      <c r="N3" s="101"/>
      <c r="O3" s="101"/>
    </row>
    <row r="4" spans="2:15" ht="16.5" customHeight="1" x14ac:dyDescent="0.25">
      <c r="H4" s="33"/>
      <c r="I4" s="33"/>
      <c r="J4" s="33"/>
      <c r="K4" s="33"/>
      <c r="L4" s="33"/>
      <c r="M4" s="33"/>
      <c r="N4" s="33"/>
      <c r="O4" s="33"/>
    </row>
    <row r="5" spans="2:15" ht="16.5" customHeight="1" x14ac:dyDescent="0.25">
      <c r="B5" s="102" t="s">
        <v>65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 ht="16.5" customHeight="1" thickBot="1" x14ac:dyDescent="0.3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2:15" ht="71.25" customHeight="1" x14ac:dyDescent="0.25">
      <c r="B7" s="104" t="s">
        <v>6</v>
      </c>
      <c r="C7" s="93" t="s">
        <v>13</v>
      </c>
      <c r="D7" s="93" t="s">
        <v>0</v>
      </c>
      <c r="E7" s="93" t="s">
        <v>12</v>
      </c>
      <c r="F7" s="95" t="s">
        <v>7</v>
      </c>
      <c r="G7" s="97" t="s">
        <v>8</v>
      </c>
      <c r="H7" s="99" t="s">
        <v>88</v>
      </c>
      <c r="I7" s="93"/>
      <c r="J7" s="93"/>
      <c r="K7" s="93"/>
      <c r="L7" s="93"/>
      <c r="M7" s="93"/>
      <c r="N7" s="93"/>
      <c r="O7" s="100"/>
    </row>
    <row r="8" spans="2:15" ht="13.5" customHeight="1" thickBot="1" x14ac:dyDescent="0.3">
      <c r="B8" s="105"/>
      <c r="C8" s="94"/>
      <c r="D8" s="94"/>
      <c r="E8" s="94"/>
      <c r="F8" s="96"/>
      <c r="G8" s="98"/>
      <c r="H8" s="30">
        <v>2018</v>
      </c>
      <c r="I8" s="32">
        <v>2019</v>
      </c>
      <c r="J8" s="32">
        <v>2020</v>
      </c>
      <c r="K8" s="32">
        <v>2021</v>
      </c>
      <c r="L8" s="32">
        <v>2022</v>
      </c>
      <c r="M8" s="32">
        <v>2023</v>
      </c>
      <c r="N8" s="32">
        <v>2024</v>
      </c>
      <c r="O8" s="31">
        <v>2025</v>
      </c>
    </row>
    <row r="9" spans="2:15" ht="16.5" thickBot="1" x14ac:dyDescent="0.3">
      <c r="B9" s="68">
        <v>1</v>
      </c>
      <c r="C9" s="24">
        <v>2</v>
      </c>
      <c r="D9" s="24">
        <v>3</v>
      </c>
      <c r="E9" s="24">
        <v>4</v>
      </c>
      <c r="F9" s="25">
        <v>5</v>
      </c>
      <c r="G9" s="26">
        <v>6</v>
      </c>
      <c r="H9" s="23">
        <v>7</v>
      </c>
      <c r="I9" s="24">
        <v>8</v>
      </c>
      <c r="J9" s="24">
        <v>9</v>
      </c>
      <c r="K9" s="24">
        <v>10</v>
      </c>
      <c r="L9" s="24">
        <v>11</v>
      </c>
      <c r="M9" s="24">
        <v>12</v>
      </c>
      <c r="N9" s="24">
        <v>13</v>
      </c>
      <c r="O9" s="65">
        <v>14</v>
      </c>
    </row>
    <row r="10" spans="2:15" ht="16.5" hidden="1" customHeight="1" x14ac:dyDescent="0.25">
      <c r="B10" s="89"/>
      <c r="C10" s="90" t="s">
        <v>14</v>
      </c>
      <c r="D10" s="109" t="s">
        <v>11</v>
      </c>
      <c r="E10" s="110" t="s">
        <v>10</v>
      </c>
      <c r="F10" s="9" t="s">
        <v>1</v>
      </c>
      <c r="G10" s="1">
        <f>SUM(G11:G14)</f>
        <v>0</v>
      </c>
      <c r="H10" s="1">
        <f>SUM(H11:H14)</f>
        <v>0</v>
      </c>
      <c r="I10" s="1">
        <f>SUM(I11:I14)</f>
        <v>0</v>
      </c>
      <c r="J10" s="1"/>
      <c r="K10" s="1"/>
      <c r="L10" s="1">
        <f>SUM(L11:L14)</f>
        <v>0</v>
      </c>
      <c r="M10" s="1">
        <f>SUM(M11:M14)</f>
        <v>0</v>
      </c>
      <c r="N10" s="1">
        <f>SUM(N11:N14)</f>
        <v>0</v>
      </c>
      <c r="O10" s="66">
        <f>SUM(O11:O14)</f>
        <v>0</v>
      </c>
    </row>
    <row r="11" spans="2:15" ht="26.25" hidden="1" customHeight="1" x14ac:dyDescent="0.25">
      <c r="B11" s="89"/>
      <c r="C11" s="91"/>
      <c r="D11" s="109"/>
      <c r="E11" s="110"/>
      <c r="F11" s="9" t="s">
        <v>2</v>
      </c>
      <c r="G11" s="1">
        <f>SUM(H11:O11)</f>
        <v>0</v>
      </c>
      <c r="H11" s="1"/>
      <c r="I11" s="1"/>
      <c r="J11" s="1"/>
      <c r="K11" s="1"/>
      <c r="L11" s="1"/>
      <c r="M11" s="1"/>
      <c r="N11" s="1"/>
      <c r="O11" s="66"/>
    </row>
    <row r="12" spans="2:15" ht="27" hidden="1" customHeight="1" x14ac:dyDescent="0.25">
      <c r="B12" s="89"/>
      <c r="C12" s="91"/>
      <c r="D12" s="109"/>
      <c r="E12" s="110"/>
      <c r="F12" s="9" t="s">
        <v>3</v>
      </c>
      <c r="G12" s="1">
        <f>SUM(H12:O12)</f>
        <v>0</v>
      </c>
      <c r="H12" s="1"/>
      <c r="I12" s="1"/>
      <c r="J12" s="1"/>
      <c r="K12" s="1"/>
      <c r="L12" s="1"/>
      <c r="M12" s="1"/>
      <c r="N12" s="1"/>
      <c r="O12" s="66"/>
    </row>
    <row r="13" spans="2:15" ht="25.5" hidden="1" customHeight="1" x14ac:dyDescent="0.25">
      <c r="B13" s="89"/>
      <c r="C13" s="91"/>
      <c r="D13" s="109"/>
      <c r="E13" s="110"/>
      <c r="F13" s="9" t="s">
        <v>4</v>
      </c>
      <c r="G13" s="1">
        <f>SUM(H13:O13)</f>
        <v>0</v>
      </c>
      <c r="H13" s="1"/>
      <c r="I13" s="1"/>
      <c r="J13" s="1"/>
      <c r="K13" s="1"/>
      <c r="L13" s="1"/>
      <c r="M13" s="1"/>
      <c r="N13" s="1"/>
      <c r="O13" s="66"/>
    </row>
    <row r="14" spans="2:15" ht="129.75" hidden="1" customHeight="1" x14ac:dyDescent="0.25">
      <c r="B14" s="89"/>
      <c r="C14" s="92"/>
      <c r="D14" s="109"/>
      <c r="E14" s="110"/>
      <c r="F14" s="9" t="s">
        <v>5</v>
      </c>
      <c r="G14" s="1">
        <f>SUM(H14:O14)</f>
        <v>0</v>
      </c>
      <c r="H14" s="1"/>
      <c r="I14" s="1"/>
      <c r="J14" s="1"/>
      <c r="K14" s="1"/>
      <c r="L14" s="1"/>
      <c r="M14" s="1"/>
      <c r="N14" s="1"/>
      <c r="O14" s="66"/>
    </row>
    <row r="15" spans="2:15" ht="16.5" hidden="1" thickBot="1" x14ac:dyDescent="0.3">
      <c r="B15" s="106"/>
      <c r="C15" s="107"/>
      <c r="D15" s="107"/>
      <c r="E15" s="108"/>
      <c r="F15" s="22"/>
      <c r="G15" s="2"/>
      <c r="H15" s="2"/>
      <c r="I15" s="2"/>
      <c r="J15" s="2"/>
      <c r="K15" s="2"/>
      <c r="L15" s="2"/>
      <c r="M15" s="2"/>
      <c r="N15" s="2"/>
      <c r="O15" s="67"/>
    </row>
    <row r="16" spans="2:15" x14ac:dyDescent="0.25">
      <c r="B16" s="80" t="s">
        <v>15</v>
      </c>
      <c r="C16" s="83" t="s">
        <v>21</v>
      </c>
      <c r="D16" s="83"/>
      <c r="E16" s="86" t="s">
        <v>10</v>
      </c>
      <c r="F16" s="34" t="s">
        <v>1</v>
      </c>
      <c r="G16" s="36">
        <f t="shared" ref="G16:G47" si="0">SUM(H16:O16)</f>
        <v>377084.38021000003</v>
      </c>
      <c r="H16" s="37">
        <f>SUM(H22,H28,H34,H40,H46,H52,H58,H64,H70,H76,H82,H88,H94,H100)</f>
        <v>85309.088760000013</v>
      </c>
      <c r="I16" s="38">
        <f t="shared" ref="I16:O16" si="1">SUM(I22,I28,I34,I40,I46,I52,I58,I64,I70,I76,I82,I88,I94,I100)</f>
        <v>57372.17985</v>
      </c>
      <c r="J16" s="38">
        <f t="shared" si="1"/>
        <v>53780.135519999989</v>
      </c>
      <c r="K16" s="38">
        <f t="shared" si="1"/>
        <v>52252.145520000005</v>
      </c>
      <c r="L16" s="38">
        <f t="shared" si="1"/>
        <v>78947.547869999995</v>
      </c>
      <c r="M16" s="38">
        <f t="shared" si="1"/>
        <v>49423.28269</v>
      </c>
      <c r="N16" s="38">
        <f t="shared" si="1"/>
        <v>0</v>
      </c>
      <c r="O16" s="39">
        <f t="shared" si="1"/>
        <v>0</v>
      </c>
    </row>
    <row r="17" spans="2:17" x14ac:dyDescent="0.25">
      <c r="B17" s="81"/>
      <c r="C17" s="84"/>
      <c r="D17" s="84"/>
      <c r="E17" s="87"/>
      <c r="F17" s="13" t="s">
        <v>2</v>
      </c>
      <c r="G17" s="40">
        <f t="shared" si="0"/>
        <v>87195.581180000008</v>
      </c>
      <c r="H17" s="41">
        <f t="shared" ref="H17:O21" si="2">SUM(H23,H29,H35,H41,H47,H53,H59,H65,H71,H77,H83,H89,H95,H101)</f>
        <v>33056.21</v>
      </c>
      <c r="I17" s="42">
        <f t="shared" si="2"/>
        <v>251.142</v>
      </c>
      <c r="J17" s="42">
        <f t="shared" si="2"/>
        <v>0</v>
      </c>
      <c r="K17" s="42">
        <f t="shared" si="2"/>
        <v>0</v>
      </c>
      <c r="L17" s="42">
        <f t="shared" si="2"/>
        <v>53888.229180000002</v>
      </c>
      <c r="M17" s="42">
        <f t="shared" si="2"/>
        <v>0</v>
      </c>
      <c r="N17" s="42">
        <f t="shared" si="2"/>
        <v>0</v>
      </c>
      <c r="O17" s="43">
        <f t="shared" si="2"/>
        <v>0</v>
      </c>
    </row>
    <row r="18" spans="2:17" x14ac:dyDescent="0.25">
      <c r="B18" s="81"/>
      <c r="C18" s="84"/>
      <c r="D18" s="84"/>
      <c r="E18" s="87"/>
      <c r="F18" s="13" t="s">
        <v>3</v>
      </c>
      <c r="G18" s="40">
        <f t="shared" si="0"/>
        <v>32080.818550000004</v>
      </c>
      <c r="H18" s="41">
        <f t="shared" si="2"/>
        <v>1500</v>
      </c>
      <c r="I18" s="42">
        <f t="shared" si="2"/>
        <v>10389.693000000001</v>
      </c>
      <c r="J18" s="42">
        <f t="shared" si="2"/>
        <v>1853.8</v>
      </c>
      <c r="K18" s="42">
        <f t="shared" si="2"/>
        <v>15000</v>
      </c>
      <c r="L18" s="42">
        <f t="shared" si="2"/>
        <v>3337.32555</v>
      </c>
      <c r="M18" s="42">
        <f t="shared" si="2"/>
        <v>0</v>
      </c>
      <c r="N18" s="42">
        <f t="shared" si="2"/>
        <v>0</v>
      </c>
      <c r="O18" s="43">
        <f t="shared" si="2"/>
        <v>0</v>
      </c>
    </row>
    <row r="19" spans="2:17" x14ac:dyDescent="0.25">
      <c r="B19" s="81"/>
      <c r="C19" s="84"/>
      <c r="D19" s="84"/>
      <c r="E19" s="87"/>
      <c r="F19" s="14" t="s">
        <v>55</v>
      </c>
      <c r="G19" s="40">
        <f t="shared" si="0"/>
        <v>75670.18316</v>
      </c>
      <c r="H19" s="41">
        <f t="shared" si="2"/>
        <v>0</v>
      </c>
      <c r="I19" s="42">
        <f t="shared" si="2"/>
        <v>0</v>
      </c>
      <c r="J19" s="42">
        <f t="shared" si="2"/>
        <v>18000</v>
      </c>
      <c r="K19" s="42">
        <f t="shared" si="2"/>
        <v>6900.9</v>
      </c>
      <c r="L19" s="42">
        <f t="shared" si="2"/>
        <v>6368</v>
      </c>
      <c r="M19" s="42">
        <f t="shared" si="2"/>
        <v>44401.283159999999</v>
      </c>
      <c r="N19" s="42">
        <f t="shared" si="2"/>
        <v>0</v>
      </c>
      <c r="O19" s="43">
        <f t="shared" si="2"/>
        <v>0</v>
      </c>
    </row>
    <row r="20" spans="2:17" x14ac:dyDescent="0.25">
      <c r="B20" s="81"/>
      <c r="C20" s="84"/>
      <c r="D20" s="84"/>
      <c r="E20" s="87"/>
      <c r="F20" s="13" t="s">
        <v>4</v>
      </c>
      <c r="G20" s="40">
        <f t="shared" si="0"/>
        <v>182137.79732000001</v>
      </c>
      <c r="H20" s="41">
        <f t="shared" si="2"/>
        <v>50752.878760000007</v>
      </c>
      <c r="I20" s="42">
        <f t="shared" si="2"/>
        <v>46731.344849999994</v>
      </c>
      <c r="J20" s="42">
        <f t="shared" si="2"/>
        <v>33926.335519999993</v>
      </c>
      <c r="K20" s="42">
        <f t="shared" si="2"/>
        <v>30351.245520000004</v>
      </c>
      <c r="L20" s="42">
        <f t="shared" si="2"/>
        <v>15353.993140000002</v>
      </c>
      <c r="M20" s="42">
        <f t="shared" si="2"/>
        <v>5021.99953</v>
      </c>
      <c r="N20" s="42">
        <f t="shared" si="2"/>
        <v>0</v>
      </c>
      <c r="O20" s="43">
        <f t="shared" si="2"/>
        <v>0</v>
      </c>
    </row>
    <row r="21" spans="2:17" x14ac:dyDescent="0.25">
      <c r="B21" s="82"/>
      <c r="C21" s="85"/>
      <c r="D21" s="85"/>
      <c r="E21" s="88"/>
      <c r="F21" s="15" t="s">
        <v>5</v>
      </c>
      <c r="G21" s="44">
        <f t="shared" si="0"/>
        <v>0</v>
      </c>
      <c r="H21" s="45">
        <f t="shared" si="2"/>
        <v>0</v>
      </c>
      <c r="I21" s="46">
        <f t="shared" si="2"/>
        <v>0</v>
      </c>
      <c r="J21" s="46">
        <f t="shared" si="2"/>
        <v>0</v>
      </c>
      <c r="K21" s="46">
        <f t="shared" si="2"/>
        <v>0</v>
      </c>
      <c r="L21" s="46">
        <f t="shared" si="2"/>
        <v>0</v>
      </c>
      <c r="M21" s="46">
        <f t="shared" si="2"/>
        <v>0</v>
      </c>
      <c r="N21" s="46">
        <f t="shared" si="2"/>
        <v>0</v>
      </c>
      <c r="O21" s="47">
        <f t="shared" si="2"/>
        <v>0</v>
      </c>
    </row>
    <row r="22" spans="2:17" x14ac:dyDescent="0.25">
      <c r="B22" s="71" t="s">
        <v>16</v>
      </c>
      <c r="C22" s="74" t="s">
        <v>73</v>
      </c>
      <c r="D22" s="74" t="s">
        <v>69</v>
      </c>
      <c r="E22" s="77" t="s">
        <v>10</v>
      </c>
      <c r="F22" s="35" t="s">
        <v>1</v>
      </c>
      <c r="G22" s="48">
        <f t="shared" si="0"/>
        <v>119009.74424</v>
      </c>
      <c r="H22" s="49">
        <f>SUM(H23:H27)</f>
        <v>39281.725879999998</v>
      </c>
      <c r="I22" s="50">
        <f t="shared" ref="I22:O22" si="3">SUM(I23:I27)</f>
        <v>4007.0151000000001</v>
      </c>
      <c r="J22" s="50">
        <f t="shared" si="3"/>
        <v>18000</v>
      </c>
      <c r="K22" s="50">
        <f t="shared" si="3"/>
        <v>6900.9</v>
      </c>
      <c r="L22" s="50">
        <f t="shared" si="3"/>
        <v>6374.3743700000005</v>
      </c>
      <c r="M22" s="50">
        <f t="shared" si="3"/>
        <v>44445.728889999999</v>
      </c>
      <c r="N22" s="50">
        <f t="shared" si="3"/>
        <v>0</v>
      </c>
      <c r="O22" s="51">
        <f t="shared" si="3"/>
        <v>0</v>
      </c>
      <c r="P22" s="69"/>
      <c r="Q22" s="69"/>
    </row>
    <row r="23" spans="2:17" x14ac:dyDescent="0.25">
      <c r="B23" s="72"/>
      <c r="C23" s="75"/>
      <c r="D23" s="75"/>
      <c r="E23" s="78"/>
      <c r="F23" s="19" t="s">
        <v>2</v>
      </c>
      <c r="G23" s="52">
        <f t="shared" si="0"/>
        <v>32761.85</v>
      </c>
      <c r="H23" s="53">
        <v>32761.85</v>
      </c>
      <c r="I23" s="16"/>
      <c r="J23" s="16"/>
      <c r="K23" s="16"/>
      <c r="L23" s="16">
        <v>0</v>
      </c>
      <c r="M23" s="16">
        <v>0</v>
      </c>
      <c r="N23" s="16"/>
      <c r="O23" s="54"/>
    </row>
    <row r="24" spans="2:17" x14ac:dyDescent="0.25">
      <c r="B24" s="72"/>
      <c r="C24" s="75"/>
      <c r="D24" s="75"/>
      <c r="E24" s="78"/>
      <c r="F24" s="19" t="s">
        <v>3</v>
      </c>
      <c r="G24" s="52">
        <f t="shared" si="0"/>
        <v>1500</v>
      </c>
      <c r="H24" s="53">
        <v>1500</v>
      </c>
      <c r="I24" s="16"/>
      <c r="J24" s="16"/>
      <c r="K24" s="16"/>
      <c r="L24" s="16">
        <v>0</v>
      </c>
      <c r="M24" s="16">
        <v>0</v>
      </c>
      <c r="N24" s="16"/>
      <c r="O24" s="54"/>
    </row>
    <row r="25" spans="2:17" x14ac:dyDescent="0.25">
      <c r="B25" s="72"/>
      <c r="C25" s="75"/>
      <c r="D25" s="75"/>
      <c r="E25" s="78"/>
      <c r="F25" s="20" t="s">
        <v>55</v>
      </c>
      <c r="G25" s="52">
        <f t="shared" si="0"/>
        <v>75670.18316</v>
      </c>
      <c r="H25" s="53"/>
      <c r="I25" s="16"/>
      <c r="J25" s="16">
        <v>18000</v>
      </c>
      <c r="K25" s="16">
        <v>6900.9</v>
      </c>
      <c r="L25" s="16">
        <v>6368</v>
      </c>
      <c r="M25" s="17">
        <f>2055.64016+42345.643</f>
        <v>44401.283159999999</v>
      </c>
      <c r="N25" s="16"/>
      <c r="O25" s="54"/>
    </row>
    <row r="26" spans="2:17" x14ac:dyDescent="0.25">
      <c r="B26" s="72"/>
      <c r="C26" s="75"/>
      <c r="D26" s="75"/>
      <c r="E26" s="78"/>
      <c r="F26" s="19" t="s">
        <v>4</v>
      </c>
      <c r="G26" s="52">
        <f t="shared" si="0"/>
        <v>9077.7110799999991</v>
      </c>
      <c r="H26" s="53">
        <v>5019.8758799999996</v>
      </c>
      <c r="I26" s="16">
        <v>4007.0151000000001</v>
      </c>
      <c r="J26" s="16"/>
      <c r="K26" s="16">
        <v>0</v>
      </c>
      <c r="L26" s="16">
        <v>6.3743699999999999</v>
      </c>
      <c r="M26" s="17">
        <f>2.05769+42.38804</f>
        <v>44.445729999999998</v>
      </c>
      <c r="N26" s="16"/>
      <c r="O26" s="54"/>
    </row>
    <row r="27" spans="2:17" x14ac:dyDescent="0.25">
      <c r="B27" s="73"/>
      <c r="C27" s="76"/>
      <c r="D27" s="76"/>
      <c r="E27" s="79"/>
      <c r="F27" s="21" t="s">
        <v>5</v>
      </c>
      <c r="G27" s="55">
        <f t="shared" si="0"/>
        <v>0</v>
      </c>
      <c r="H27" s="56"/>
      <c r="I27" s="18"/>
      <c r="J27" s="18"/>
      <c r="K27" s="18"/>
      <c r="L27" s="18">
        <v>0</v>
      </c>
      <c r="M27" s="18">
        <v>0</v>
      </c>
      <c r="N27" s="18"/>
      <c r="O27" s="57"/>
    </row>
    <row r="28" spans="2:17" ht="15.75" customHeight="1" x14ac:dyDescent="0.25">
      <c r="B28" s="71" t="s">
        <v>17</v>
      </c>
      <c r="C28" s="74" t="s">
        <v>72</v>
      </c>
      <c r="D28" s="74">
        <v>2022</v>
      </c>
      <c r="E28" s="77" t="s">
        <v>10</v>
      </c>
      <c r="F28" s="35" t="s">
        <v>1</v>
      </c>
      <c r="G28" s="48">
        <f t="shared" si="0"/>
        <v>54432.554730000003</v>
      </c>
      <c r="H28" s="49">
        <f>SUM(H29:H33)</f>
        <v>0</v>
      </c>
      <c r="I28" s="50">
        <f t="shared" ref="I28:O28" si="4">SUM(I29:I33)</f>
        <v>0</v>
      </c>
      <c r="J28" s="50">
        <f t="shared" si="4"/>
        <v>0</v>
      </c>
      <c r="K28" s="50">
        <f t="shared" si="4"/>
        <v>0</v>
      </c>
      <c r="L28" s="50">
        <f t="shared" si="4"/>
        <v>54432.554730000003</v>
      </c>
      <c r="M28" s="50">
        <f t="shared" si="4"/>
        <v>0</v>
      </c>
      <c r="N28" s="50">
        <f t="shared" si="4"/>
        <v>0</v>
      </c>
      <c r="O28" s="51">
        <f t="shared" si="4"/>
        <v>0</v>
      </c>
    </row>
    <row r="29" spans="2:17" x14ac:dyDescent="0.25">
      <c r="B29" s="72"/>
      <c r="C29" s="75"/>
      <c r="D29" s="75"/>
      <c r="E29" s="78"/>
      <c r="F29" s="19" t="s">
        <v>2</v>
      </c>
      <c r="G29" s="52">
        <f t="shared" si="0"/>
        <v>53888.229180000002</v>
      </c>
      <c r="H29" s="53"/>
      <c r="I29" s="16"/>
      <c r="J29" s="16"/>
      <c r="K29" s="16"/>
      <c r="L29" s="16">
        <f>53888.22918</f>
        <v>53888.229180000002</v>
      </c>
      <c r="M29" s="16">
        <v>0</v>
      </c>
      <c r="N29" s="16"/>
      <c r="O29" s="54"/>
    </row>
    <row r="30" spans="2:17" x14ac:dyDescent="0.25">
      <c r="B30" s="72">
        <v>44593</v>
      </c>
      <c r="C30" s="75"/>
      <c r="D30" s="75"/>
      <c r="E30" s="78"/>
      <c r="F30" s="19" t="s">
        <v>3</v>
      </c>
      <c r="G30" s="52">
        <f t="shared" si="0"/>
        <v>544.32555000000002</v>
      </c>
      <c r="H30" s="53"/>
      <c r="I30" s="16"/>
      <c r="J30" s="16"/>
      <c r="K30" s="16"/>
      <c r="L30" s="16">
        <f>544.32555</f>
        <v>544.32555000000002</v>
      </c>
      <c r="M30" s="16">
        <v>0</v>
      </c>
      <c r="N30" s="16"/>
      <c r="O30" s="54"/>
    </row>
    <row r="31" spans="2:17" x14ac:dyDescent="0.25">
      <c r="B31" s="72"/>
      <c r="C31" s="75"/>
      <c r="D31" s="75"/>
      <c r="E31" s="78"/>
      <c r="F31" s="20" t="s">
        <v>55</v>
      </c>
      <c r="G31" s="52">
        <f t="shared" si="0"/>
        <v>0</v>
      </c>
      <c r="H31" s="53"/>
      <c r="I31" s="16"/>
      <c r="J31" s="16"/>
      <c r="K31" s="16"/>
      <c r="L31" s="16">
        <v>0</v>
      </c>
      <c r="M31" s="17">
        <v>0</v>
      </c>
      <c r="N31" s="16"/>
      <c r="O31" s="54"/>
    </row>
    <row r="32" spans="2:17" x14ac:dyDescent="0.25">
      <c r="B32" s="72"/>
      <c r="C32" s="75"/>
      <c r="D32" s="75"/>
      <c r="E32" s="78"/>
      <c r="F32" s="19" t="s">
        <v>4</v>
      </c>
      <c r="G32" s="52">
        <f t="shared" si="0"/>
        <v>0</v>
      </c>
      <c r="H32" s="53"/>
      <c r="I32" s="16"/>
      <c r="J32" s="16"/>
      <c r="K32" s="16"/>
      <c r="L32" s="16">
        <v>0</v>
      </c>
      <c r="M32" s="17">
        <v>0</v>
      </c>
      <c r="N32" s="16"/>
      <c r="O32" s="54"/>
    </row>
    <row r="33" spans="2:15" x14ac:dyDescent="0.25">
      <c r="B33" s="73"/>
      <c r="C33" s="76"/>
      <c r="D33" s="76"/>
      <c r="E33" s="79"/>
      <c r="F33" s="21" t="s">
        <v>5</v>
      </c>
      <c r="G33" s="55">
        <f t="shared" si="0"/>
        <v>0</v>
      </c>
      <c r="H33" s="56"/>
      <c r="I33" s="18"/>
      <c r="J33" s="18"/>
      <c r="K33" s="18"/>
      <c r="L33" s="18">
        <v>0</v>
      </c>
      <c r="M33" s="18">
        <v>0</v>
      </c>
      <c r="N33" s="18"/>
      <c r="O33" s="57"/>
    </row>
    <row r="34" spans="2:15" ht="15.75" customHeight="1" x14ac:dyDescent="0.25">
      <c r="B34" s="71" t="s">
        <v>18</v>
      </c>
      <c r="C34" s="74" t="s">
        <v>75</v>
      </c>
      <c r="D34" s="74" t="s">
        <v>79</v>
      </c>
      <c r="E34" s="77" t="s">
        <v>10</v>
      </c>
      <c r="F34" s="35" t="s">
        <v>1</v>
      </c>
      <c r="G34" s="48">
        <f t="shared" si="0"/>
        <v>2088.0330800000002</v>
      </c>
      <c r="H34" s="49">
        <f>SUM(H35:H39)</f>
        <v>497.53212000000002</v>
      </c>
      <c r="I34" s="50">
        <f t="shared" ref="I34:O34" si="5">SUM(I35:I39)</f>
        <v>435.11932999999999</v>
      </c>
      <c r="J34" s="50">
        <f t="shared" si="5"/>
        <v>0</v>
      </c>
      <c r="K34" s="50">
        <f t="shared" si="5"/>
        <v>138</v>
      </c>
      <c r="L34" s="50">
        <f t="shared" si="5"/>
        <v>1017.3816300000001</v>
      </c>
      <c r="M34" s="50">
        <f t="shared" si="5"/>
        <v>0</v>
      </c>
      <c r="N34" s="50">
        <f t="shared" si="5"/>
        <v>0</v>
      </c>
      <c r="O34" s="51">
        <f t="shared" si="5"/>
        <v>0</v>
      </c>
    </row>
    <row r="35" spans="2:15" x14ac:dyDescent="0.25">
      <c r="B35" s="72"/>
      <c r="C35" s="75"/>
      <c r="D35" s="75"/>
      <c r="E35" s="78"/>
      <c r="F35" s="19" t="s">
        <v>2</v>
      </c>
      <c r="G35" s="52">
        <f t="shared" si="0"/>
        <v>545.50199999999995</v>
      </c>
      <c r="H35" s="53">
        <f>100+130+64.36</f>
        <v>294.36</v>
      </c>
      <c r="I35" s="16">
        <f>95+95+61.142</f>
        <v>251.142</v>
      </c>
      <c r="J35" s="16"/>
      <c r="K35" s="16"/>
      <c r="L35" s="16">
        <v>0</v>
      </c>
      <c r="M35" s="16">
        <v>0</v>
      </c>
      <c r="N35" s="16"/>
      <c r="O35" s="54"/>
    </row>
    <row r="36" spans="2:15" x14ac:dyDescent="0.25">
      <c r="B36" s="72"/>
      <c r="C36" s="75"/>
      <c r="D36" s="75"/>
      <c r="E36" s="78"/>
      <c r="F36" s="19" t="s">
        <v>3</v>
      </c>
      <c r="G36" s="52">
        <f t="shared" si="0"/>
        <v>13.218</v>
      </c>
      <c r="H36" s="53"/>
      <c r="I36" s="16">
        <f>5+5+3.218</f>
        <v>13.218</v>
      </c>
      <c r="J36" s="16"/>
      <c r="K36" s="16"/>
      <c r="L36" s="16">
        <v>0</v>
      </c>
      <c r="M36" s="16">
        <v>0</v>
      </c>
      <c r="N36" s="16"/>
      <c r="O36" s="54"/>
    </row>
    <row r="37" spans="2:15" x14ac:dyDescent="0.25">
      <c r="B37" s="72"/>
      <c r="C37" s="75"/>
      <c r="D37" s="75"/>
      <c r="E37" s="78"/>
      <c r="F37" s="20" t="s">
        <v>55</v>
      </c>
      <c r="G37" s="52">
        <f t="shared" si="0"/>
        <v>0</v>
      </c>
      <c r="H37" s="53"/>
      <c r="I37" s="16"/>
      <c r="J37" s="16"/>
      <c r="K37" s="16"/>
      <c r="L37" s="16">
        <v>0</v>
      </c>
      <c r="M37" s="17">
        <v>0</v>
      </c>
      <c r="N37" s="16"/>
      <c r="O37" s="54"/>
    </row>
    <row r="38" spans="2:15" x14ac:dyDescent="0.25">
      <c r="B38" s="72"/>
      <c r="C38" s="75"/>
      <c r="D38" s="75"/>
      <c r="E38" s="78"/>
      <c r="F38" s="19" t="s">
        <v>4</v>
      </c>
      <c r="G38" s="52">
        <f t="shared" si="0"/>
        <v>1529.3130800000001</v>
      </c>
      <c r="H38" s="53">
        <f>103.17212+100</f>
        <v>203.17212000000001</v>
      </c>
      <c r="I38" s="16">
        <f>0.001+70.75833+100</f>
        <v>170.75933000000001</v>
      </c>
      <c r="J38" s="16"/>
      <c r="K38" s="16">
        <f>138</f>
        <v>138</v>
      </c>
      <c r="L38" s="16">
        <f>169.95563+847.426</f>
        <v>1017.3816300000001</v>
      </c>
      <c r="M38" s="17">
        <v>0</v>
      </c>
      <c r="N38" s="16"/>
      <c r="O38" s="54"/>
    </row>
    <row r="39" spans="2:15" x14ac:dyDescent="0.25">
      <c r="B39" s="73"/>
      <c r="C39" s="76"/>
      <c r="D39" s="76"/>
      <c r="E39" s="79"/>
      <c r="F39" s="21" t="s">
        <v>5</v>
      </c>
      <c r="G39" s="55">
        <f t="shared" si="0"/>
        <v>0</v>
      </c>
      <c r="H39" s="56"/>
      <c r="I39" s="18"/>
      <c r="J39" s="18"/>
      <c r="K39" s="18"/>
      <c r="L39" s="18">
        <v>0</v>
      </c>
      <c r="M39" s="18">
        <v>0</v>
      </c>
      <c r="N39" s="18"/>
      <c r="O39" s="57"/>
    </row>
    <row r="40" spans="2:15" ht="15.75" customHeight="1" x14ac:dyDescent="0.25">
      <c r="B40" s="71" t="s">
        <v>22</v>
      </c>
      <c r="C40" s="74" t="s">
        <v>60</v>
      </c>
      <c r="D40" s="74" t="s">
        <v>70</v>
      </c>
      <c r="E40" s="77" t="s">
        <v>10</v>
      </c>
      <c r="F40" s="35" t="s">
        <v>1</v>
      </c>
      <c r="G40" s="48">
        <f t="shared" si="0"/>
        <v>20880.605519999997</v>
      </c>
      <c r="H40" s="49">
        <f>SUM(H41:H45)</f>
        <v>0</v>
      </c>
      <c r="I40" s="50">
        <f t="shared" ref="I40:O40" si="6">SUM(I41:I45)</f>
        <v>0</v>
      </c>
      <c r="J40" s="50">
        <f t="shared" si="6"/>
        <v>250</v>
      </c>
      <c r="K40" s="50">
        <f t="shared" si="6"/>
        <v>15977.605519999999</v>
      </c>
      <c r="L40" s="50">
        <f t="shared" si="6"/>
        <v>4653</v>
      </c>
      <c r="M40" s="50">
        <f t="shared" si="6"/>
        <v>0</v>
      </c>
      <c r="N40" s="50">
        <f t="shared" si="6"/>
        <v>0</v>
      </c>
      <c r="O40" s="51">
        <f t="shared" si="6"/>
        <v>0</v>
      </c>
    </row>
    <row r="41" spans="2:15" x14ac:dyDescent="0.25">
      <c r="B41" s="72"/>
      <c r="C41" s="75"/>
      <c r="D41" s="75"/>
      <c r="E41" s="78"/>
      <c r="F41" s="19" t="s">
        <v>2</v>
      </c>
      <c r="G41" s="52">
        <f t="shared" si="0"/>
        <v>0</v>
      </c>
      <c r="H41" s="53"/>
      <c r="I41" s="16"/>
      <c r="J41" s="16"/>
      <c r="K41" s="16"/>
      <c r="L41" s="16">
        <v>0</v>
      </c>
      <c r="M41" s="16">
        <v>0</v>
      </c>
      <c r="N41" s="16"/>
      <c r="O41" s="54"/>
    </row>
    <row r="42" spans="2:15" x14ac:dyDescent="0.25">
      <c r="B42" s="72"/>
      <c r="C42" s="75"/>
      <c r="D42" s="75"/>
      <c r="E42" s="78"/>
      <c r="F42" s="19" t="s">
        <v>3</v>
      </c>
      <c r="G42" s="52">
        <f t="shared" si="0"/>
        <v>17793</v>
      </c>
      <c r="H42" s="53"/>
      <c r="I42" s="16"/>
      <c r="J42" s="16"/>
      <c r="K42" s="16">
        <v>15000</v>
      </c>
      <c r="L42" s="16">
        <v>2793</v>
      </c>
      <c r="M42" s="16">
        <v>0</v>
      </c>
      <c r="N42" s="16"/>
      <c r="O42" s="54"/>
    </row>
    <row r="43" spans="2:15" x14ac:dyDescent="0.25">
      <c r="B43" s="72"/>
      <c r="C43" s="75"/>
      <c r="D43" s="75"/>
      <c r="E43" s="78"/>
      <c r="F43" s="20" t="s">
        <v>55</v>
      </c>
      <c r="G43" s="52">
        <f t="shared" si="0"/>
        <v>0</v>
      </c>
      <c r="H43" s="53"/>
      <c r="I43" s="16"/>
      <c r="J43" s="16"/>
      <c r="K43" s="16"/>
      <c r="L43" s="16">
        <v>0</v>
      </c>
      <c r="M43" s="17">
        <v>0</v>
      </c>
      <c r="N43" s="16"/>
      <c r="O43" s="54"/>
    </row>
    <row r="44" spans="2:15" x14ac:dyDescent="0.25">
      <c r="B44" s="72"/>
      <c r="C44" s="75"/>
      <c r="D44" s="75"/>
      <c r="E44" s="78"/>
      <c r="F44" s="19" t="s">
        <v>4</v>
      </c>
      <c r="G44" s="52">
        <f t="shared" si="0"/>
        <v>3087.6055200000001</v>
      </c>
      <c r="H44" s="53"/>
      <c r="I44" s="16"/>
      <c r="J44" s="16">
        <v>250</v>
      </c>
      <c r="K44" s="16">
        <f>188.13184+789.47368</f>
        <v>977.60551999999996</v>
      </c>
      <c r="L44" s="16">
        <v>1860</v>
      </c>
      <c r="M44" s="17">
        <v>0</v>
      </c>
      <c r="N44" s="16"/>
      <c r="O44" s="54"/>
    </row>
    <row r="45" spans="2:15" x14ac:dyDescent="0.25">
      <c r="B45" s="73"/>
      <c r="C45" s="76"/>
      <c r="D45" s="76"/>
      <c r="E45" s="79"/>
      <c r="F45" s="21" t="s">
        <v>5</v>
      </c>
      <c r="G45" s="55">
        <f t="shared" si="0"/>
        <v>0</v>
      </c>
      <c r="H45" s="56"/>
      <c r="I45" s="18"/>
      <c r="J45" s="18"/>
      <c r="K45" s="18"/>
      <c r="L45" s="18">
        <v>0</v>
      </c>
      <c r="M45" s="18">
        <v>0</v>
      </c>
      <c r="N45" s="18"/>
      <c r="O45" s="57"/>
    </row>
    <row r="46" spans="2:15" ht="15.75" customHeight="1" x14ac:dyDescent="0.25">
      <c r="B46" s="71" t="s">
        <v>23</v>
      </c>
      <c r="C46" s="74" t="s">
        <v>29</v>
      </c>
      <c r="D46" s="74" t="s">
        <v>80</v>
      </c>
      <c r="E46" s="77" t="s">
        <v>10</v>
      </c>
      <c r="F46" s="35" t="s">
        <v>1</v>
      </c>
      <c r="G46" s="48">
        <f t="shared" si="0"/>
        <v>37282.987930000003</v>
      </c>
      <c r="H46" s="49">
        <f>SUM(H47:H51)</f>
        <v>16379.82015</v>
      </c>
      <c r="I46" s="50">
        <f t="shared" ref="I46:O46" si="7">SUM(I47:I51)</f>
        <v>0</v>
      </c>
      <c r="J46" s="50">
        <f t="shared" si="7"/>
        <v>1951.36842</v>
      </c>
      <c r="K46" s="50">
        <f t="shared" si="7"/>
        <v>12790.7</v>
      </c>
      <c r="L46" s="50">
        <f t="shared" si="7"/>
        <v>2520.4083500000002</v>
      </c>
      <c r="M46" s="50">
        <f t="shared" si="7"/>
        <v>3640.69101</v>
      </c>
      <c r="N46" s="50">
        <f t="shared" si="7"/>
        <v>0</v>
      </c>
      <c r="O46" s="51">
        <f t="shared" si="7"/>
        <v>0</v>
      </c>
    </row>
    <row r="47" spans="2:15" x14ac:dyDescent="0.25">
      <c r="B47" s="72"/>
      <c r="C47" s="75"/>
      <c r="D47" s="75"/>
      <c r="E47" s="78"/>
      <c r="F47" s="19" t="s">
        <v>2</v>
      </c>
      <c r="G47" s="52">
        <f t="shared" si="0"/>
        <v>0</v>
      </c>
      <c r="H47" s="53"/>
      <c r="I47" s="16"/>
      <c r="J47" s="16"/>
      <c r="K47" s="16"/>
      <c r="L47" s="16">
        <v>0</v>
      </c>
      <c r="M47" s="16">
        <v>0</v>
      </c>
      <c r="N47" s="16"/>
      <c r="O47" s="54"/>
    </row>
    <row r="48" spans="2:15" x14ac:dyDescent="0.25">
      <c r="B48" s="72"/>
      <c r="C48" s="75"/>
      <c r="D48" s="75"/>
      <c r="E48" s="78"/>
      <c r="F48" s="19" t="s">
        <v>3</v>
      </c>
      <c r="G48" s="52">
        <f t="shared" ref="G48:G79" si="8">SUM(H48:O48)</f>
        <v>1853.8</v>
      </c>
      <c r="H48" s="53"/>
      <c r="I48" s="16"/>
      <c r="J48" s="16">
        <v>1853.8</v>
      </c>
      <c r="K48" s="16"/>
      <c r="L48" s="16">
        <v>0</v>
      </c>
      <c r="M48" s="16">
        <v>0</v>
      </c>
      <c r="N48" s="16"/>
      <c r="O48" s="54"/>
    </row>
    <row r="49" spans="2:15" x14ac:dyDescent="0.25">
      <c r="B49" s="72"/>
      <c r="C49" s="75"/>
      <c r="D49" s="75"/>
      <c r="E49" s="78"/>
      <c r="F49" s="20" t="s">
        <v>55</v>
      </c>
      <c r="G49" s="52">
        <f t="shared" si="8"/>
        <v>0</v>
      </c>
      <c r="H49" s="53"/>
      <c r="I49" s="16"/>
      <c r="J49" s="16"/>
      <c r="K49" s="16"/>
      <c r="L49" s="16">
        <v>0</v>
      </c>
      <c r="M49" s="17">
        <v>0</v>
      </c>
      <c r="N49" s="16"/>
      <c r="O49" s="54"/>
    </row>
    <row r="50" spans="2:15" x14ac:dyDescent="0.25">
      <c r="B50" s="72"/>
      <c r="C50" s="75"/>
      <c r="D50" s="75"/>
      <c r="E50" s="78"/>
      <c r="F50" s="19" t="s">
        <v>4</v>
      </c>
      <c r="G50" s="52">
        <f t="shared" si="8"/>
        <v>35429.18793</v>
      </c>
      <c r="H50" s="53">
        <f>6112.74+5801.40796+4465.67219</f>
        <v>16379.82015</v>
      </c>
      <c r="I50" s="16"/>
      <c r="J50" s="16">
        <v>97.568420000000003</v>
      </c>
      <c r="K50" s="16">
        <f>12790.7</f>
        <v>12790.7</v>
      </c>
      <c r="L50" s="16">
        <v>2520.4083500000002</v>
      </c>
      <c r="M50" s="17">
        <f>2388.46888+1252.22213</f>
        <v>3640.69101</v>
      </c>
      <c r="N50" s="16"/>
      <c r="O50" s="54"/>
    </row>
    <row r="51" spans="2:15" x14ac:dyDescent="0.25">
      <c r="B51" s="73"/>
      <c r="C51" s="76"/>
      <c r="D51" s="76"/>
      <c r="E51" s="79"/>
      <c r="F51" s="21" t="s">
        <v>5</v>
      </c>
      <c r="G51" s="55">
        <f t="shared" si="8"/>
        <v>0</v>
      </c>
      <c r="H51" s="56"/>
      <c r="I51" s="18"/>
      <c r="J51" s="18"/>
      <c r="K51" s="18"/>
      <c r="L51" s="18">
        <v>0</v>
      </c>
      <c r="M51" s="18">
        <v>0</v>
      </c>
      <c r="N51" s="18"/>
      <c r="O51" s="57"/>
    </row>
    <row r="52" spans="2:15" ht="15.75" customHeight="1" x14ac:dyDescent="0.25">
      <c r="B52" s="71" t="s">
        <v>24</v>
      </c>
      <c r="C52" s="74" t="s">
        <v>52</v>
      </c>
      <c r="D52" s="74" t="s">
        <v>76</v>
      </c>
      <c r="E52" s="77" t="s">
        <v>10</v>
      </c>
      <c r="F52" s="35" t="s">
        <v>1</v>
      </c>
      <c r="G52" s="48">
        <f t="shared" si="8"/>
        <v>33991.438549999999</v>
      </c>
      <c r="H52" s="49">
        <f>SUM(H53:H57)</f>
        <v>4426.9140000000007</v>
      </c>
      <c r="I52" s="50">
        <f t="shared" ref="I52:O52" si="9">SUM(I53:I57)</f>
        <v>13915.910550000001</v>
      </c>
      <c r="J52" s="50">
        <f t="shared" si="9"/>
        <v>15648.613999999996</v>
      </c>
      <c r="K52" s="50">
        <f t="shared" si="9"/>
        <v>0</v>
      </c>
      <c r="L52" s="50">
        <f t="shared" si="9"/>
        <v>0</v>
      </c>
      <c r="M52" s="50">
        <f t="shared" si="9"/>
        <v>0</v>
      </c>
      <c r="N52" s="50">
        <f t="shared" si="9"/>
        <v>0</v>
      </c>
      <c r="O52" s="51">
        <f t="shared" si="9"/>
        <v>0</v>
      </c>
    </row>
    <row r="53" spans="2:15" x14ac:dyDescent="0.25">
      <c r="B53" s="72"/>
      <c r="C53" s="75"/>
      <c r="D53" s="75"/>
      <c r="E53" s="78"/>
      <c r="F53" s="19" t="s">
        <v>2</v>
      </c>
      <c r="G53" s="52">
        <f t="shared" si="8"/>
        <v>0</v>
      </c>
      <c r="H53" s="53"/>
      <c r="I53" s="16"/>
      <c r="J53" s="16"/>
      <c r="K53" s="16"/>
      <c r="L53" s="16">
        <v>0</v>
      </c>
      <c r="M53" s="16">
        <v>0</v>
      </c>
      <c r="N53" s="16"/>
      <c r="O53" s="54"/>
    </row>
    <row r="54" spans="2:15" x14ac:dyDescent="0.25">
      <c r="B54" s="72"/>
      <c r="C54" s="75"/>
      <c r="D54" s="75"/>
      <c r="E54" s="78"/>
      <c r="F54" s="19" t="s">
        <v>3</v>
      </c>
      <c r="G54" s="52">
        <f t="shared" si="8"/>
        <v>0</v>
      </c>
      <c r="H54" s="53"/>
      <c r="I54" s="16"/>
      <c r="J54" s="16"/>
      <c r="K54" s="16"/>
      <c r="L54" s="16">
        <v>0</v>
      </c>
      <c r="M54" s="16">
        <v>0</v>
      </c>
      <c r="N54" s="16"/>
      <c r="O54" s="54"/>
    </row>
    <row r="55" spans="2:15" x14ac:dyDescent="0.25">
      <c r="B55" s="72"/>
      <c r="C55" s="75"/>
      <c r="D55" s="75"/>
      <c r="E55" s="78"/>
      <c r="F55" s="20" t="s">
        <v>55</v>
      </c>
      <c r="G55" s="52">
        <f t="shared" si="8"/>
        <v>0</v>
      </c>
      <c r="H55" s="53"/>
      <c r="I55" s="16"/>
      <c r="J55" s="16"/>
      <c r="K55" s="16"/>
      <c r="L55" s="16">
        <v>0</v>
      </c>
      <c r="M55" s="17">
        <v>0</v>
      </c>
      <c r="N55" s="16"/>
      <c r="O55" s="54"/>
    </row>
    <row r="56" spans="2:15" x14ac:dyDescent="0.25">
      <c r="B56" s="72"/>
      <c r="C56" s="75"/>
      <c r="D56" s="75"/>
      <c r="E56" s="78"/>
      <c r="F56" s="19" t="s">
        <v>4</v>
      </c>
      <c r="G56" s="52">
        <f t="shared" si="8"/>
        <v>33991.438549999999</v>
      </c>
      <c r="H56" s="53">
        <f>3233.93+100+36+67.479+96.424+99.599+96.804+96.804+99.979+99.979+99.979+99.979+99.979+99.979</f>
        <v>4426.9140000000007</v>
      </c>
      <c r="I56" s="16">
        <f>3020.45981+7244.24874+80.725+80.725+77.625+84.375+77.355+84.375+84.375+84.375+81.945+79.785+85.59+1464.362+85.59+1200</f>
        <v>13915.910550000001</v>
      </c>
      <c r="J56" s="16">
        <f>82.912+549.987+12684.983+139.764+139.764+137.801+137.801+137.801+137.801+1500</f>
        <v>15648.613999999996</v>
      </c>
      <c r="K56" s="16">
        <v>0</v>
      </c>
      <c r="L56" s="16">
        <v>0</v>
      </c>
      <c r="M56" s="17">
        <v>0</v>
      </c>
      <c r="N56" s="16"/>
      <c r="O56" s="54"/>
    </row>
    <row r="57" spans="2:15" x14ac:dyDescent="0.25">
      <c r="B57" s="73"/>
      <c r="C57" s="76"/>
      <c r="D57" s="76"/>
      <c r="E57" s="79"/>
      <c r="F57" s="21" t="s">
        <v>5</v>
      </c>
      <c r="G57" s="55">
        <f t="shared" si="8"/>
        <v>0</v>
      </c>
      <c r="H57" s="56"/>
      <c r="I57" s="18"/>
      <c r="J57" s="18"/>
      <c r="K57" s="18"/>
      <c r="L57" s="18">
        <v>0</v>
      </c>
      <c r="M57" s="18">
        <v>0</v>
      </c>
      <c r="N57" s="18"/>
      <c r="O57" s="57"/>
    </row>
    <row r="58" spans="2:15" ht="15.75" customHeight="1" x14ac:dyDescent="0.25">
      <c r="B58" s="71" t="s">
        <v>25</v>
      </c>
      <c r="C58" s="74" t="s">
        <v>59</v>
      </c>
      <c r="D58" s="74" t="s">
        <v>49</v>
      </c>
      <c r="E58" s="77" t="s">
        <v>10</v>
      </c>
      <c r="F58" s="35" t="s">
        <v>1</v>
      </c>
      <c r="G58" s="48">
        <f t="shared" si="8"/>
        <v>4760.8014999999996</v>
      </c>
      <c r="H58" s="49">
        <f>SUM(H59:H63)</f>
        <v>0</v>
      </c>
      <c r="I58" s="50">
        <f t="shared" ref="I58:O58" si="10">SUM(I59:I63)</f>
        <v>4057.2203799999997</v>
      </c>
      <c r="J58" s="50">
        <f t="shared" si="10"/>
        <v>703.58112000000006</v>
      </c>
      <c r="K58" s="50">
        <f t="shared" si="10"/>
        <v>0</v>
      </c>
      <c r="L58" s="50">
        <f t="shared" si="10"/>
        <v>0</v>
      </c>
      <c r="M58" s="50">
        <f t="shared" si="10"/>
        <v>0</v>
      </c>
      <c r="N58" s="50">
        <f t="shared" si="10"/>
        <v>0</v>
      </c>
      <c r="O58" s="51">
        <f t="shared" si="10"/>
        <v>0</v>
      </c>
    </row>
    <row r="59" spans="2:15" x14ac:dyDescent="0.25">
      <c r="B59" s="72"/>
      <c r="C59" s="75"/>
      <c r="D59" s="75"/>
      <c r="E59" s="78"/>
      <c r="F59" s="19" t="s">
        <v>2</v>
      </c>
      <c r="G59" s="52">
        <f t="shared" si="8"/>
        <v>0</v>
      </c>
      <c r="H59" s="53"/>
      <c r="I59" s="16"/>
      <c r="J59" s="16"/>
      <c r="K59" s="16"/>
      <c r="L59" s="16">
        <v>0</v>
      </c>
      <c r="M59" s="16">
        <v>0</v>
      </c>
      <c r="N59" s="16"/>
      <c r="O59" s="54"/>
    </row>
    <row r="60" spans="2:15" x14ac:dyDescent="0.25">
      <c r="B60" s="72"/>
      <c r="C60" s="75"/>
      <c r="D60" s="75"/>
      <c r="E60" s="78"/>
      <c r="F60" s="19" t="s">
        <v>3</v>
      </c>
      <c r="G60" s="52">
        <f t="shared" si="8"/>
        <v>0</v>
      </c>
      <c r="H60" s="53"/>
      <c r="I60" s="16"/>
      <c r="J60" s="16"/>
      <c r="K60" s="16"/>
      <c r="L60" s="16">
        <v>0</v>
      </c>
      <c r="M60" s="16">
        <v>0</v>
      </c>
      <c r="N60" s="16"/>
      <c r="O60" s="54"/>
    </row>
    <row r="61" spans="2:15" x14ac:dyDescent="0.25">
      <c r="B61" s="72"/>
      <c r="C61" s="75"/>
      <c r="D61" s="75"/>
      <c r="E61" s="78"/>
      <c r="F61" s="20" t="s">
        <v>55</v>
      </c>
      <c r="G61" s="52">
        <f t="shared" si="8"/>
        <v>0</v>
      </c>
      <c r="H61" s="53"/>
      <c r="I61" s="16"/>
      <c r="J61" s="16"/>
      <c r="K61" s="16"/>
      <c r="L61" s="16">
        <v>0</v>
      </c>
      <c r="M61" s="17">
        <v>0</v>
      </c>
      <c r="N61" s="16"/>
      <c r="O61" s="54"/>
    </row>
    <row r="62" spans="2:15" x14ac:dyDescent="0.25">
      <c r="B62" s="72"/>
      <c r="C62" s="75"/>
      <c r="D62" s="75"/>
      <c r="E62" s="78"/>
      <c r="F62" s="19" t="s">
        <v>4</v>
      </c>
      <c r="G62" s="52">
        <f t="shared" si="8"/>
        <v>4760.8014999999996</v>
      </c>
      <c r="H62" s="53"/>
      <c r="I62" s="16">
        <f>406.29275+3551.98523+98.9424</f>
        <v>4057.2203799999997</v>
      </c>
      <c r="J62" s="16">
        <f>445.08742+258.4937</f>
        <v>703.58112000000006</v>
      </c>
      <c r="K62" s="16">
        <v>0</v>
      </c>
      <c r="L62" s="16">
        <v>0</v>
      </c>
      <c r="M62" s="17">
        <v>0</v>
      </c>
      <c r="N62" s="16"/>
      <c r="O62" s="54"/>
    </row>
    <row r="63" spans="2:15" x14ac:dyDescent="0.25">
      <c r="B63" s="73"/>
      <c r="C63" s="76"/>
      <c r="D63" s="76"/>
      <c r="E63" s="79"/>
      <c r="F63" s="21" t="s">
        <v>5</v>
      </c>
      <c r="G63" s="55">
        <f t="shared" si="8"/>
        <v>0</v>
      </c>
      <c r="H63" s="56"/>
      <c r="I63" s="18"/>
      <c r="J63" s="18"/>
      <c r="K63" s="18"/>
      <c r="L63" s="18">
        <v>0</v>
      </c>
      <c r="M63" s="18">
        <v>0</v>
      </c>
      <c r="N63" s="18"/>
      <c r="O63" s="57"/>
    </row>
    <row r="64" spans="2:15" ht="15.75" customHeight="1" x14ac:dyDescent="0.25">
      <c r="B64" s="71" t="s">
        <v>26</v>
      </c>
      <c r="C64" s="74" t="s">
        <v>33</v>
      </c>
      <c r="D64" s="74" t="s">
        <v>81</v>
      </c>
      <c r="E64" s="77" t="s">
        <v>10</v>
      </c>
      <c r="F64" s="35" t="s">
        <v>1</v>
      </c>
      <c r="G64" s="48">
        <f t="shared" si="8"/>
        <v>18344.636770000001</v>
      </c>
      <c r="H64" s="49">
        <f>SUM(H65:H69)</f>
        <v>7577.2937700000002</v>
      </c>
      <c r="I64" s="50">
        <f t="shared" ref="I64:O64" si="11">SUM(I65:I69)</f>
        <v>0</v>
      </c>
      <c r="J64" s="50">
        <f t="shared" si="11"/>
        <v>6197.3429999999998</v>
      </c>
      <c r="K64" s="50">
        <f t="shared" si="11"/>
        <v>4570</v>
      </c>
      <c r="L64" s="50">
        <f t="shared" si="11"/>
        <v>0</v>
      </c>
      <c r="M64" s="50">
        <f t="shared" si="11"/>
        <v>0</v>
      </c>
      <c r="N64" s="50">
        <f t="shared" si="11"/>
        <v>0</v>
      </c>
      <c r="O64" s="51">
        <f t="shared" si="11"/>
        <v>0</v>
      </c>
    </row>
    <row r="65" spans="2:15" x14ac:dyDescent="0.25">
      <c r="B65" s="72"/>
      <c r="C65" s="75"/>
      <c r="D65" s="75"/>
      <c r="E65" s="78"/>
      <c r="F65" s="19" t="s">
        <v>2</v>
      </c>
      <c r="G65" s="52">
        <f t="shared" si="8"/>
        <v>0</v>
      </c>
      <c r="H65" s="53"/>
      <c r="I65" s="16"/>
      <c r="J65" s="16"/>
      <c r="K65" s="16"/>
      <c r="L65" s="16">
        <v>0</v>
      </c>
      <c r="M65" s="16">
        <v>0</v>
      </c>
      <c r="N65" s="16"/>
      <c r="O65" s="54"/>
    </row>
    <row r="66" spans="2:15" x14ac:dyDescent="0.25">
      <c r="B66" s="72"/>
      <c r="C66" s="75"/>
      <c r="D66" s="75"/>
      <c r="E66" s="78"/>
      <c r="F66" s="19" t="s">
        <v>3</v>
      </c>
      <c r="G66" s="52">
        <f t="shared" si="8"/>
        <v>0</v>
      </c>
      <c r="H66" s="53"/>
      <c r="I66" s="16"/>
      <c r="J66" s="16"/>
      <c r="K66" s="16"/>
      <c r="L66" s="16">
        <v>0</v>
      </c>
      <c r="M66" s="16">
        <v>0</v>
      </c>
      <c r="N66" s="16"/>
      <c r="O66" s="54"/>
    </row>
    <row r="67" spans="2:15" x14ac:dyDescent="0.25">
      <c r="B67" s="72"/>
      <c r="C67" s="75"/>
      <c r="D67" s="75"/>
      <c r="E67" s="78"/>
      <c r="F67" s="20" t="s">
        <v>55</v>
      </c>
      <c r="G67" s="52">
        <f t="shared" si="8"/>
        <v>0</v>
      </c>
      <c r="H67" s="53"/>
      <c r="I67" s="16"/>
      <c r="J67" s="16"/>
      <c r="K67" s="16"/>
      <c r="L67" s="16">
        <v>0</v>
      </c>
      <c r="M67" s="17">
        <v>0</v>
      </c>
      <c r="N67" s="16"/>
      <c r="O67" s="54"/>
    </row>
    <row r="68" spans="2:15" x14ac:dyDescent="0.25">
      <c r="B68" s="72"/>
      <c r="C68" s="75"/>
      <c r="D68" s="75"/>
      <c r="E68" s="78"/>
      <c r="F68" s="19" t="s">
        <v>4</v>
      </c>
      <c r="G68" s="52">
        <f t="shared" si="8"/>
        <v>18344.636770000001</v>
      </c>
      <c r="H68" s="53">
        <v>7577.2937700000002</v>
      </c>
      <c r="I68" s="16"/>
      <c r="J68" s="16">
        <f>5000+1702.753-505.41</f>
        <v>6197.3429999999998</v>
      </c>
      <c r="K68" s="16">
        <f>4400+170</f>
        <v>4570</v>
      </c>
      <c r="L68" s="16">
        <v>0</v>
      </c>
      <c r="M68" s="17">
        <v>0</v>
      </c>
      <c r="N68" s="16"/>
      <c r="O68" s="54"/>
    </row>
    <row r="69" spans="2:15" x14ac:dyDescent="0.25">
      <c r="B69" s="73"/>
      <c r="C69" s="76"/>
      <c r="D69" s="76"/>
      <c r="E69" s="79"/>
      <c r="F69" s="21" t="s">
        <v>5</v>
      </c>
      <c r="G69" s="55">
        <f t="shared" si="8"/>
        <v>0</v>
      </c>
      <c r="H69" s="56"/>
      <c r="I69" s="18"/>
      <c r="J69" s="18"/>
      <c r="K69" s="18"/>
      <c r="L69" s="18">
        <v>0</v>
      </c>
      <c r="M69" s="18">
        <v>0</v>
      </c>
      <c r="N69" s="18"/>
      <c r="O69" s="57"/>
    </row>
    <row r="70" spans="2:15" ht="15.75" customHeight="1" x14ac:dyDescent="0.25">
      <c r="B70" s="71" t="s">
        <v>27</v>
      </c>
      <c r="C70" s="74" t="s">
        <v>47</v>
      </c>
      <c r="D70" s="74" t="s">
        <v>82</v>
      </c>
      <c r="E70" s="77" t="s">
        <v>10</v>
      </c>
      <c r="F70" s="35" t="s">
        <v>1</v>
      </c>
      <c r="G70" s="48">
        <f t="shared" si="8"/>
        <v>21302.003230000002</v>
      </c>
      <c r="H70" s="49">
        <f>SUM(H71:H75)</f>
        <v>4121.1333199999999</v>
      </c>
      <c r="I70" s="50">
        <f t="shared" ref="I70:O70" si="12">SUM(I71:I75)</f>
        <v>3607.9639099999999</v>
      </c>
      <c r="J70" s="50">
        <f t="shared" si="12"/>
        <v>0</v>
      </c>
      <c r="K70" s="50">
        <f t="shared" si="12"/>
        <v>5104.9400000000005</v>
      </c>
      <c r="L70" s="50">
        <f t="shared" si="12"/>
        <v>8467.9660000000003</v>
      </c>
      <c r="M70" s="50">
        <f t="shared" si="12"/>
        <v>0</v>
      </c>
      <c r="N70" s="50">
        <f t="shared" si="12"/>
        <v>0</v>
      </c>
      <c r="O70" s="51">
        <f t="shared" si="12"/>
        <v>0</v>
      </c>
    </row>
    <row r="71" spans="2:15" x14ac:dyDescent="0.25">
      <c r="B71" s="72"/>
      <c r="C71" s="75"/>
      <c r="D71" s="75"/>
      <c r="E71" s="78"/>
      <c r="F71" s="19" t="s">
        <v>2</v>
      </c>
      <c r="G71" s="52">
        <f t="shared" si="8"/>
        <v>0</v>
      </c>
      <c r="H71" s="53"/>
      <c r="I71" s="16"/>
      <c r="J71" s="16"/>
      <c r="K71" s="16"/>
      <c r="L71" s="16">
        <v>0</v>
      </c>
      <c r="M71" s="16">
        <v>0</v>
      </c>
      <c r="N71" s="16"/>
      <c r="O71" s="54"/>
    </row>
    <row r="72" spans="2:15" x14ac:dyDescent="0.25">
      <c r="B72" s="72"/>
      <c r="C72" s="75"/>
      <c r="D72" s="75"/>
      <c r="E72" s="78"/>
      <c r="F72" s="19" t="s">
        <v>3</v>
      </c>
      <c r="G72" s="52">
        <f t="shared" si="8"/>
        <v>0</v>
      </c>
      <c r="H72" s="53"/>
      <c r="I72" s="16"/>
      <c r="J72" s="16"/>
      <c r="K72" s="16"/>
      <c r="L72" s="16">
        <v>0</v>
      </c>
      <c r="M72" s="16">
        <v>0</v>
      </c>
      <c r="N72" s="16"/>
      <c r="O72" s="54"/>
    </row>
    <row r="73" spans="2:15" x14ac:dyDescent="0.25">
      <c r="B73" s="72"/>
      <c r="C73" s="75"/>
      <c r="D73" s="75"/>
      <c r="E73" s="78"/>
      <c r="F73" s="20" t="s">
        <v>55</v>
      </c>
      <c r="G73" s="52">
        <f t="shared" si="8"/>
        <v>0</v>
      </c>
      <c r="H73" s="53"/>
      <c r="I73" s="16"/>
      <c r="J73" s="16"/>
      <c r="K73" s="16"/>
      <c r="L73" s="16">
        <v>0</v>
      </c>
      <c r="M73" s="17">
        <v>0</v>
      </c>
      <c r="N73" s="16"/>
      <c r="O73" s="54"/>
    </row>
    <row r="74" spans="2:15" x14ac:dyDescent="0.25">
      <c r="B74" s="72"/>
      <c r="C74" s="75"/>
      <c r="D74" s="75"/>
      <c r="E74" s="78"/>
      <c r="F74" s="19" t="s">
        <v>4</v>
      </c>
      <c r="G74" s="52">
        <f t="shared" si="8"/>
        <v>21302.003230000002</v>
      </c>
      <c r="H74" s="53">
        <v>4121.1333199999999</v>
      </c>
      <c r="I74" s="16">
        <v>3607.9639099999999</v>
      </c>
      <c r="J74" s="16"/>
      <c r="K74" s="16">
        <f>3322.94+1782</f>
        <v>5104.9400000000005</v>
      </c>
      <c r="L74" s="16">
        <f>8467.966</f>
        <v>8467.9660000000003</v>
      </c>
      <c r="M74" s="17">
        <v>0</v>
      </c>
      <c r="N74" s="16"/>
      <c r="O74" s="54"/>
    </row>
    <row r="75" spans="2:15" x14ac:dyDescent="0.25">
      <c r="B75" s="73"/>
      <c r="C75" s="76"/>
      <c r="D75" s="76"/>
      <c r="E75" s="79"/>
      <c r="F75" s="21" t="s">
        <v>5</v>
      </c>
      <c r="G75" s="55">
        <f t="shared" si="8"/>
        <v>0</v>
      </c>
      <c r="H75" s="56"/>
      <c r="I75" s="18"/>
      <c r="J75" s="18"/>
      <c r="K75" s="18"/>
      <c r="L75" s="18">
        <v>0</v>
      </c>
      <c r="M75" s="18">
        <v>0</v>
      </c>
      <c r="N75" s="18"/>
      <c r="O75" s="57"/>
    </row>
    <row r="76" spans="2:15" ht="15.75" customHeight="1" x14ac:dyDescent="0.25">
      <c r="B76" s="71" t="s">
        <v>28</v>
      </c>
      <c r="C76" s="74" t="s">
        <v>77</v>
      </c>
      <c r="D76" s="74" t="s">
        <v>83</v>
      </c>
      <c r="E76" s="77" t="s">
        <v>10</v>
      </c>
      <c r="F76" s="35" t="s">
        <v>1</v>
      </c>
      <c r="G76" s="48">
        <f t="shared" si="8"/>
        <v>3944.62835</v>
      </c>
      <c r="H76" s="49">
        <f>SUM(H77:H81)</f>
        <v>878.86668000000009</v>
      </c>
      <c r="I76" s="50">
        <f t="shared" ref="I76:O76" si="13">SUM(I77:I81)</f>
        <v>392.03609</v>
      </c>
      <c r="J76" s="50">
        <f t="shared" si="13"/>
        <v>0</v>
      </c>
      <c r="K76" s="50">
        <f t="shared" si="13"/>
        <v>0</v>
      </c>
      <c r="L76" s="50">
        <f t="shared" si="13"/>
        <v>1336.8627900000001</v>
      </c>
      <c r="M76" s="50">
        <f t="shared" si="13"/>
        <v>1336.8627899999999</v>
      </c>
      <c r="N76" s="50">
        <f t="shared" si="13"/>
        <v>0</v>
      </c>
      <c r="O76" s="51">
        <f t="shared" si="13"/>
        <v>0</v>
      </c>
    </row>
    <row r="77" spans="2:15" x14ac:dyDescent="0.25">
      <c r="B77" s="72"/>
      <c r="C77" s="75"/>
      <c r="D77" s="75"/>
      <c r="E77" s="78"/>
      <c r="F77" s="19" t="s">
        <v>2</v>
      </c>
      <c r="G77" s="52">
        <f t="shared" si="8"/>
        <v>0</v>
      </c>
      <c r="H77" s="53"/>
      <c r="I77" s="16"/>
      <c r="J77" s="16"/>
      <c r="K77" s="16"/>
      <c r="L77" s="16">
        <v>0</v>
      </c>
      <c r="M77" s="16">
        <v>0</v>
      </c>
      <c r="N77" s="16"/>
      <c r="O77" s="54"/>
    </row>
    <row r="78" spans="2:15" x14ac:dyDescent="0.25">
      <c r="B78" s="72"/>
      <c r="C78" s="75"/>
      <c r="D78" s="75"/>
      <c r="E78" s="78"/>
      <c r="F78" s="19" t="s">
        <v>3</v>
      </c>
      <c r="G78" s="52">
        <f t="shared" si="8"/>
        <v>0</v>
      </c>
      <c r="H78" s="53"/>
      <c r="I78" s="16"/>
      <c r="J78" s="16"/>
      <c r="K78" s="16"/>
      <c r="L78" s="16">
        <v>0</v>
      </c>
      <c r="M78" s="16">
        <v>0</v>
      </c>
      <c r="N78" s="16"/>
      <c r="O78" s="54"/>
    </row>
    <row r="79" spans="2:15" x14ac:dyDescent="0.25">
      <c r="B79" s="72"/>
      <c r="C79" s="75"/>
      <c r="D79" s="75"/>
      <c r="E79" s="78"/>
      <c r="F79" s="20" t="s">
        <v>55</v>
      </c>
      <c r="G79" s="52">
        <f t="shared" si="8"/>
        <v>0</v>
      </c>
      <c r="H79" s="53"/>
      <c r="I79" s="16"/>
      <c r="J79" s="16"/>
      <c r="K79" s="16"/>
      <c r="L79" s="16">
        <v>0</v>
      </c>
      <c r="M79" s="17">
        <v>0</v>
      </c>
      <c r="N79" s="16"/>
      <c r="O79" s="54"/>
    </row>
    <row r="80" spans="2:15" x14ac:dyDescent="0.25">
      <c r="B80" s="72"/>
      <c r="C80" s="75"/>
      <c r="D80" s="75"/>
      <c r="E80" s="78"/>
      <c r="F80" s="19" t="s">
        <v>4</v>
      </c>
      <c r="G80" s="52">
        <f t="shared" ref="G80:G133" si="14">SUM(H80:O80)</f>
        <v>3944.62835</v>
      </c>
      <c r="H80" s="53">
        <f>19.13578+16.57411+21.13074+26.81865+65.76411+50.39819+99.84087+52.82672+49.98097+47.40842+94.59977+99.78768+99.53265+73.2708+61.79722</f>
        <v>878.86668000000009</v>
      </c>
      <c r="I80" s="16">
        <f>48.66474+94.91821+42.73056+66.46968+51.95318+27.94666+35.81234+4.84775+7.31891+11.37406</f>
        <v>392.03609</v>
      </c>
      <c r="J80" s="16"/>
      <c r="K80" s="16"/>
      <c r="L80" s="16">
        <f>1691.5-354.63721</f>
        <v>1336.8627900000001</v>
      </c>
      <c r="M80" s="17">
        <v>1336.8627899999999</v>
      </c>
      <c r="N80" s="16"/>
      <c r="O80" s="54"/>
    </row>
    <row r="81" spans="2:15" x14ac:dyDescent="0.25">
      <c r="B81" s="73"/>
      <c r="C81" s="76"/>
      <c r="D81" s="76"/>
      <c r="E81" s="79"/>
      <c r="F81" s="21" t="s">
        <v>5</v>
      </c>
      <c r="G81" s="55">
        <f t="shared" si="14"/>
        <v>0</v>
      </c>
      <c r="H81" s="56"/>
      <c r="I81" s="18"/>
      <c r="J81" s="18"/>
      <c r="K81" s="18"/>
      <c r="L81" s="18">
        <v>0</v>
      </c>
      <c r="M81" s="18">
        <v>0</v>
      </c>
      <c r="N81" s="18"/>
      <c r="O81" s="57"/>
    </row>
    <row r="82" spans="2:15" ht="15.75" customHeight="1" x14ac:dyDescent="0.25">
      <c r="B82" s="71" t="s">
        <v>30</v>
      </c>
      <c r="C82" s="74" t="s">
        <v>34</v>
      </c>
      <c r="D82" s="74" t="s">
        <v>66</v>
      </c>
      <c r="E82" s="77" t="s">
        <v>20</v>
      </c>
      <c r="F82" s="35" t="s">
        <v>1</v>
      </c>
      <c r="G82" s="48">
        <f t="shared" si="14"/>
        <v>40415.391579999996</v>
      </c>
      <c r="H82" s="49">
        <f>SUM(H83:H87)</f>
        <v>8334.3835199999994</v>
      </c>
      <c r="I82" s="50">
        <f t="shared" ref="I82:O82" si="15">SUM(I83:I87)</f>
        <v>16806.334489999997</v>
      </c>
      <c r="J82" s="50">
        <f t="shared" si="15"/>
        <v>9304.6735700000008</v>
      </c>
      <c r="K82" s="50">
        <f t="shared" si="15"/>
        <v>5970</v>
      </c>
      <c r="L82" s="50">
        <f t="shared" si="15"/>
        <v>0</v>
      </c>
      <c r="M82" s="50">
        <f t="shared" si="15"/>
        <v>0</v>
      </c>
      <c r="N82" s="50">
        <f t="shared" si="15"/>
        <v>0</v>
      </c>
      <c r="O82" s="51">
        <f t="shared" si="15"/>
        <v>0</v>
      </c>
    </row>
    <row r="83" spans="2:15" x14ac:dyDescent="0.25">
      <c r="B83" s="72"/>
      <c r="C83" s="75"/>
      <c r="D83" s="75"/>
      <c r="E83" s="78"/>
      <c r="F83" s="19" t="s">
        <v>2</v>
      </c>
      <c r="G83" s="52">
        <f t="shared" si="14"/>
        <v>0</v>
      </c>
      <c r="H83" s="53"/>
      <c r="I83" s="16"/>
      <c r="J83" s="16"/>
      <c r="K83" s="16"/>
      <c r="L83" s="16">
        <v>0</v>
      </c>
      <c r="M83" s="16">
        <v>0</v>
      </c>
      <c r="N83" s="16"/>
      <c r="O83" s="54"/>
    </row>
    <row r="84" spans="2:15" x14ac:dyDescent="0.25">
      <c r="B84" s="72"/>
      <c r="C84" s="75"/>
      <c r="D84" s="75"/>
      <c r="E84" s="78"/>
      <c r="F84" s="19" t="s">
        <v>3</v>
      </c>
      <c r="G84" s="52">
        <f t="shared" si="14"/>
        <v>0</v>
      </c>
      <c r="H84" s="53"/>
      <c r="I84" s="16"/>
      <c r="J84" s="16"/>
      <c r="K84" s="16"/>
      <c r="L84" s="16">
        <v>0</v>
      </c>
      <c r="M84" s="16">
        <v>0</v>
      </c>
      <c r="N84" s="16"/>
      <c r="O84" s="54"/>
    </row>
    <row r="85" spans="2:15" x14ac:dyDescent="0.25">
      <c r="B85" s="72"/>
      <c r="C85" s="75"/>
      <c r="D85" s="75"/>
      <c r="E85" s="78"/>
      <c r="F85" s="20" t="s">
        <v>55</v>
      </c>
      <c r="G85" s="52">
        <f t="shared" si="14"/>
        <v>0</v>
      </c>
      <c r="H85" s="53"/>
      <c r="I85" s="16"/>
      <c r="J85" s="16"/>
      <c r="K85" s="16"/>
      <c r="L85" s="16">
        <v>0</v>
      </c>
      <c r="M85" s="17">
        <v>0</v>
      </c>
      <c r="N85" s="16"/>
      <c r="O85" s="54"/>
    </row>
    <row r="86" spans="2:15" x14ac:dyDescent="0.25">
      <c r="B86" s="72"/>
      <c r="C86" s="75"/>
      <c r="D86" s="75"/>
      <c r="E86" s="78"/>
      <c r="F86" s="19" t="s">
        <v>4</v>
      </c>
      <c r="G86" s="52">
        <f t="shared" si="14"/>
        <v>40415.391579999996</v>
      </c>
      <c r="H86" s="53">
        <v>8334.3835199999994</v>
      </c>
      <c r="I86" s="16">
        <f>15476.443-1400-0.01-47.30239+2777.20388</f>
        <v>16806.334489999997</v>
      </c>
      <c r="J86" s="16">
        <f>9034.67357+270</f>
        <v>9304.6735700000008</v>
      </c>
      <c r="K86" s="16">
        <f>6000-30</f>
        <v>5970</v>
      </c>
      <c r="L86" s="16">
        <v>0</v>
      </c>
      <c r="M86" s="17">
        <v>0</v>
      </c>
      <c r="N86" s="16"/>
      <c r="O86" s="54"/>
    </row>
    <row r="87" spans="2:15" x14ac:dyDescent="0.25">
      <c r="B87" s="73"/>
      <c r="C87" s="76"/>
      <c r="D87" s="76"/>
      <c r="E87" s="79"/>
      <c r="F87" s="21" t="s">
        <v>5</v>
      </c>
      <c r="G87" s="55">
        <f t="shared" si="14"/>
        <v>0</v>
      </c>
      <c r="H87" s="56"/>
      <c r="I87" s="18"/>
      <c r="J87" s="18"/>
      <c r="K87" s="18"/>
      <c r="L87" s="18">
        <v>0</v>
      </c>
      <c r="M87" s="18">
        <v>0</v>
      </c>
      <c r="N87" s="18"/>
      <c r="O87" s="57"/>
    </row>
    <row r="88" spans="2:15" ht="15.75" customHeight="1" x14ac:dyDescent="0.25">
      <c r="B88" s="71" t="s">
        <v>31</v>
      </c>
      <c r="C88" s="74" t="s">
        <v>44</v>
      </c>
      <c r="D88" s="74" t="s">
        <v>66</v>
      </c>
      <c r="E88" s="77" t="s">
        <v>20</v>
      </c>
      <c r="F88" s="35" t="s">
        <v>1</v>
      </c>
      <c r="G88" s="48">
        <f t="shared" si="14"/>
        <v>16089.239000000001</v>
      </c>
      <c r="H88" s="49">
        <f>SUM(H89:H93)</f>
        <v>449.44499999999999</v>
      </c>
      <c r="I88" s="50">
        <f t="shared" ref="I88:O88" si="16">SUM(I89:I93)</f>
        <v>13719.918000000001</v>
      </c>
      <c r="J88" s="50">
        <f t="shared" si="16"/>
        <v>1119.876</v>
      </c>
      <c r="K88" s="50">
        <f t="shared" si="16"/>
        <v>800</v>
      </c>
      <c r="L88" s="50">
        <f t="shared" si="16"/>
        <v>0</v>
      </c>
      <c r="M88" s="50">
        <f t="shared" si="16"/>
        <v>0</v>
      </c>
      <c r="N88" s="50">
        <f t="shared" si="16"/>
        <v>0</v>
      </c>
      <c r="O88" s="51">
        <f t="shared" si="16"/>
        <v>0</v>
      </c>
    </row>
    <row r="89" spans="2:15" x14ac:dyDescent="0.25">
      <c r="B89" s="72"/>
      <c r="C89" s="75"/>
      <c r="D89" s="75"/>
      <c r="E89" s="78"/>
      <c r="F89" s="19" t="s">
        <v>2</v>
      </c>
      <c r="G89" s="52">
        <f t="shared" si="14"/>
        <v>0</v>
      </c>
      <c r="H89" s="53"/>
      <c r="I89" s="16"/>
      <c r="J89" s="16"/>
      <c r="K89" s="16"/>
      <c r="L89" s="16">
        <v>0</v>
      </c>
      <c r="M89" s="16">
        <v>0</v>
      </c>
      <c r="N89" s="16"/>
      <c r="O89" s="54"/>
    </row>
    <row r="90" spans="2:15" x14ac:dyDescent="0.25">
      <c r="B90" s="72"/>
      <c r="C90" s="75"/>
      <c r="D90" s="75"/>
      <c r="E90" s="78"/>
      <c r="F90" s="19" t="s">
        <v>3</v>
      </c>
      <c r="G90" s="52">
        <f t="shared" si="14"/>
        <v>10376.475</v>
      </c>
      <c r="H90" s="53"/>
      <c r="I90" s="16">
        <f>13389.9-0.9-3012.525</f>
        <v>10376.475</v>
      </c>
      <c r="J90" s="16"/>
      <c r="K90" s="16"/>
      <c r="L90" s="16">
        <v>0</v>
      </c>
      <c r="M90" s="16">
        <v>0</v>
      </c>
      <c r="N90" s="16"/>
      <c r="O90" s="54"/>
    </row>
    <row r="91" spans="2:15" x14ac:dyDescent="0.25">
      <c r="B91" s="72"/>
      <c r="C91" s="75"/>
      <c r="D91" s="75"/>
      <c r="E91" s="78"/>
      <c r="F91" s="20" t="s">
        <v>55</v>
      </c>
      <c r="G91" s="52">
        <f t="shared" si="14"/>
        <v>0</v>
      </c>
      <c r="H91" s="53"/>
      <c r="I91" s="16"/>
      <c r="J91" s="16"/>
      <c r="K91" s="16"/>
      <c r="L91" s="16">
        <v>0</v>
      </c>
      <c r="M91" s="17">
        <v>0</v>
      </c>
      <c r="N91" s="16"/>
      <c r="O91" s="54"/>
    </row>
    <row r="92" spans="2:15" x14ac:dyDescent="0.25">
      <c r="B92" s="72"/>
      <c r="C92" s="75"/>
      <c r="D92" s="75"/>
      <c r="E92" s="78"/>
      <c r="F92" s="19" t="s">
        <v>4</v>
      </c>
      <c r="G92" s="52">
        <f t="shared" si="14"/>
        <v>5712.7640000000001</v>
      </c>
      <c r="H92" s="53">
        <v>449.44499999999999</v>
      </c>
      <c r="I92" s="16">
        <f>3343.443</f>
        <v>3343.4430000000002</v>
      </c>
      <c r="J92" s="16">
        <f>1191.628-71.752</f>
        <v>1119.876</v>
      </c>
      <c r="K92" s="16">
        <f>504+296</f>
        <v>800</v>
      </c>
      <c r="L92" s="16">
        <v>0</v>
      </c>
      <c r="M92" s="17">
        <v>0</v>
      </c>
      <c r="N92" s="16"/>
      <c r="O92" s="54"/>
    </row>
    <row r="93" spans="2:15" x14ac:dyDescent="0.25">
      <c r="B93" s="73"/>
      <c r="C93" s="76"/>
      <c r="D93" s="76"/>
      <c r="E93" s="79"/>
      <c r="F93" s="21" t="s">
        <v>5</v>
      </c>
      <c r="G93" s="55">
        <f t="shared" si="14"/>
        <v>0</v>
      </c>
      <c r="H93" s="56"/>
      <c r="I93" s="18"/>
      <c r="J93" s="18"/>
      <c r="K93" s="18"/>
      <c r="L93" s="18">
        <v>0</v>
      </c>
      <c r="M93" s="18">
        <v>0</v>
      </c>
      <c r="N93" s="18"/>
      <c r="O93" s="57"/>
    </row>
    <row r="94" spans="2:15" ht="15.75" customHeight="1" x14ac:dyDescent="0.25">
      <c r="B94" s="71" t="s">
        <v>32</v>
      </c>
      <c r="C94" s="74" t="s">
        <v>35</v>
      </c>
      <c r="D94" s="74" t="s">
        <v>38</v>
      </c>
      <c r="E94" s="77" t="s">
        <v>20</v>
      </c>
      <c r="F94" s="35" t="s">
        <v>1</v>
      </c>
      <c r="G94" s="48">
        <f t="shared" si="14"/>
        <v>3347.6706399999998</v>
      </c>
      <c r="H94" s="49">
        <f>SUM(H95:H99)</f>
        <v>3062.00864</v>
      </c>
      <c r="I94" s="50">
        <f t="shared" ref="I94:O94" si="17">SUM(I95:I99)</f>
        <v>285.66199999999998</v>
      </c>
      <c r="J94" s="50">
        <f t="shared" si="17"/>
        <v>0</v>
      </c>
      <c r="K94" s="50">
        <f t="shared" si="17"/>
        <v>0</v>
      </c>
      <c r="L94" s="50">
        <f t="shared" si="17"/>
        <v>0</v>
      </c>
      <c r="M94" s="50">
        <f t="shared" si="17"/>
        <v>0</v>
      </c>
      <c r="N94" s="50">
        <f t="shared" si="17"/>
        <v>0</v>
      </c>
      <c r="O94" s="51">
        <f t="shared" si="17"/>
        <v>0</v>
      </c>
    </row>
    <row r="95" spans="2:15" x14ac:dyDescent="0.25">
      <c r="B95" s="72"/>
      <c r="C95" s="75"/>
      <c r="D95" s="75"/>
      <c r="E95" s="78"/>
      <c r="F95" s="19" t="s">
        <v>2</v>
      </c>
      <c r="G95" s="52">
        <f t="shared" si="14"/>
        <v>0</v>
      </c>
      <c r="H95" s="53"/>
      <c r="I95" s="16"/>
      <c r="J95" s="16"/>
      <c r="K95" s="16"/>
      <c r="L95" s="16">
        <v>0</v>
      </c>
      <c r="M95" s="16">
        <v>0</v>
      </c>
      <c r="N95" s="16"/>
      <c r="O95" s="54"/>
    </row>
    <row r="96" spans="2:15" x14ac:dyDescent="0.25">
      <c r="B96" s="72"/>
      <c r="C96" s="75"/>
      <c r="D96" s="75"/>
      <c r="E96" s="78"/>
      <c r="F96" s="19" t="s">
        <v>3</v>
      </c>
      <c r="G96" s="52">
        <f t="shared" si="14"/>
        <v>0</v>
      </c>
      <c r="H96" s="53"/>
      <c r="I96" s="16"/>
      <c r="J96" s="16"/>
      <c r="K96" s="16"/>
      <c r="L96" s="16">
        <v>0</v>
      </c>
      <c r="M96" s="16">
        <v>0</v>
      </c>
      <c r="N96" s="16"/>
      <c r="O96" s="54"/>
    </row>
    <row r="97" spans="2:15" x14ac:dyDescent="0.25">
      <c r="B97" s="72"/>
      <c r="C97" s="75"/>
      <c r="D97" s="75"/>
      <c r="E97" s="78"/>
      <c r="F97" s="20" t="s">
        <v>55</v>
      </c>
      <c r="G97" s="52">
        <f t="shared" si="14"/>
        <v>0</v>
      </c>
      <c r="H97" s="53"/>
      <c r="I97" s="16"/>
      <c r="J97" s="16"/>
      <c r="K97" s="16"/>
      <c r="L97" s="16">
        <v>0</v>
      </c>
      <c r="M97" s="17">
        <v>0</v>
      </c>
      <c r="N97" s="16"/>
      <c r="O97" s="54"/>
    </row>
    <row r="98" spans="2:15" x14ac:dyDescent="0.25">
      <c r="B98" s="72"/>
      <c r="C98" s="75"/>
      <c r="D98" s="75"/>
      <c r="E98" s="78"/>
      <c r="F98" s="19" t="s">
        <v>4</v>
      </c>
      <c r="G98" s="52">
        <f t="shared" si="14"/>
        <v>3347.6706399999998</v>
      </c>
      <c r="H98" s="53">
        <v>3062.00864</v>
      </c>
      <c r="I98" s="16">
        <v>285.66199999999998</v>
      </c>
      <c r="J98" s="16"/>
      <c r="K98" s="16"/>
      <c r="L98" s="16">
        <v>0</v>
      </c>
      <c r="M98" s="17">
        <v>0</v>
      </c>
      <c r="N98" s="16"/>
      <c r="O98" s="54"/>
    </row>
    <row r="99" spans="2:15" x14ac:dyDescent="0.25">
      <c r="B99" s="73"/>
      <c r="C99" s="76"/>
      <c r="D99" s="76"/>
      <c r="E99" s="79"/>
      <c r="F99" s="21" t="s">
        <v>5</v>
      </c>
      <c r="G99" s="55">
        <f t="shared" si="14"/>
        <v>0</v>
      </c>
      <c r="H99" s="56"/>
      <c r="I99" s="18"/>
      <c r="J99" s="18"/>
      <c r="K99" s="18"/>
      <c r="L99" s="18">
        <v>0</v>
      </c>
      <c r="M99" s="18">
        <v>0</v>
      </c>
      <c r="N99" s="18"/>
      <c r="O99" s="57"/>
    </row>
    <row r="100" spans="2:15" ht="15.75" customHeight="1" x14ac:dyDescent="0.25">
      <c r="B100" s="71" t="s">
        <v>71</v>
      </c>
      <c r="C100" s="74" t="s">
        <v>51</v>
      </c>
      <c r="D100" s="74" t="s">
        <v>84</v>
      </c>
      <c r="E100" s="77" t="s">
        <v>20</v>
      </c>
      <c r="F100" s="35" t="s">
        <v>1</v>
      </c>
      <c r="G100" s="48">
        <f t="shared" si="14"/>
        <v>1194.64509</v>
      </c>
      <c r="H100" s="49">
        <f>SUM(H101:H105)</f>
        <v>299.96568000000002</v>
      </c>
      <c r="I100" s="50">
        <f t="shared" ref="I100:O100" si="18">SUM(I101:I105)</f>
        <v>145</v>
      </c>
      <c r="J100" s="50">
        <f t="shared" si="18"/>
        <v>604.67940999999996</v>
      </c>
      <c r="K100" s="50">
        <f t="shared" si="18"/>
        <v>0</v>
      </c>
      <c r="L100" s="50">
        <f t="shared" si="18"/>
        <v>145</v>
      </c>
      <c r="M100" s="50">
        <f t="shared" si="18"/>
        <v>0</v>
      </c>
      <c r="N100" s="50">
        <f t="shared" si="18"/>
        <v>0</v>
      </c>
      <c r="O100" s="51">
        <f t="shared" si="18"/>
        <v>0</v>
      </c>
    </row>
    <row r="101" spans="2:15" x14ac:dyDescent="0.25">
      <c r="B101" s="72"/>
      <c r="C101" s="75"/>
      <c r="D101" s="75"/>
      <c r="E101" s="78"/>
      <c r="F101" s="19" t="s">
        <v>2</v>
      </c>
      <c r="G101" s="52">
        <f t="shared" si="14"/>
        <v>0</v>
      </c>
      <c r="H101" s="53"/>
      <c r="I101" s="16"/>
      <c r="J101" s="16"/>
      <c r="K101" s="16"/>
      <c r="L101" s="16">
        <v>0</v>
      </c>
      <c r="M101" s="16">
        <v>0</v>
      </c>
      <c r="N101" s="16"/>
      <c r="O101" s="54"/>
    </row>
    <row r="102" spans="2:15" x14ac:dyDescent="0.25">
      <c r="B102" s="72"/>
      <c r="C102" s="75"/>
      <c r="D102" s="75"/>
      <c r="E102" s="78"/>
      <c r="F102" s="19" t="s">
        <v>3</v>
      </c>
      <c r="G102" s="52">
        <f t="shared" si="14"/>
        <v>0</v>
      </c>
      <c r="H102" s="53"/>
      <c r="I102" s="16"/>
      <c r="J102" s="16"/>
      <c r="K102" s="16"/>
      <c r="L102" s="16">
        <v>0</v>
      </c>
      <c r="M102" s="16">
        <v>0</v>
      </c>
      <c r="N102" s="16"/>
      <c r="O102" s="54"/>
    </row>
    <row r="103" spans="2:15" x14ac:dyDescent="0.25">
      <c r="B103" s="72"/>
      <c r="C103" s="75"/>
      <c r="D103" s="75"/>
      <c r="E103" s="78"/>
      <c r="F103" s="20" t="s">
        <v>55</v>
      </c>
      <c r="G103" s="52">
        <f t="shared" si="14"/>
        <v>0</v>
      </c>
      <c r="H103" s="53"/>
      <c r="I103" s="16"/>
      <c r="J103" s="16"/>
      <c r="K103" s="16"/>
      <c r="L103" s="16">
        <v>0</v>
      </c>
      <c r="M103" s="17">
        <v>0</v>
      </c>
      <c r="N103" s="16"/>
      <c r="O103" s="54"/>
    </row>
    <row r="104" spans="2:15" x14ac:dyDescent="0.25">
      <c r="B104" s="72"/>
      <c r="C104" s="75"/>
      <c r="D104" s="75"/>
      <c r="E104" s="78"/>
      <c r="F104" s="19" t="s">
        <v>4</v>
      </c>
      <c r="G104" s="52">
        <f t="shared" si="14"/>
        <v>1194.64509</v>
      </c>
      <c r="H104" s="53">
        <v>299.96568000000002</v>
      </c>
      <c r="I104" s="16">
        <v>145</v>
      </c>
      <c r="J104" s="16">
        <f>752.718-148.03859</f>
        <v>604.67940999999996</v>
      </c>
      <c r="K104" s="16">
        <v>0</v>
      </c>
      <c r="L104" s="16">
        <v>145</v>
      </c>
      <c r="M104" s="17">
        <v>0</v>
      </c>
      <c r="N104" s="16">
        <v>0</v>
      </c>
      <c r="O104" s="54">
        <v>0</v>
      </c>
    </row>
    <row r="105" spans="2:15" ht="16.5" thickBot="1" x14ac:dyDescent="0.3">
      <c r="B105" s="114"/>
      <c r="C105" s="115"/>
      <c r="D105" s="115"/>
      <c r="E105" s="94"/>
      <c r="F105" s="28" t="s">
        <v>5</v>
      </c>
      <c r="G105" s="58">
        <f t="shared" si="14"/>
        <v>0</v>
      </c>
      <c r="H105" s="59"/>
      <c r="I105" s="29"/>
      <c r="J105" s="29"/>
      <c r="K105" s="29"/>
      <c r="L105" s="29">
        <v>0</v>
      </c>
      <c r="M105" s="29">
        <v>0</v>
      </c>
      <c r="N105" s="29"/>
      <c r="O105" s="60"/>
    </row>
    <row r="106" spans="2:15" ht="15.75" customHeight="1" x14ac:dyDescent="0.25">
      <c r="B106" s="80" t="s">
        <v>36</v>
      </c>
      <c r="C106" s="83" t="s">
        <v>37</v>
      </c>
      <c r="D106" s="83"/>
      <c r="E106" s="86" t="s">
        <v>10</v>
      </c>
      <c r="F106" s="34" t="s">
        <v>1</v>
      </c>
      <c r="G106" s="36">
        <f>SUM(H106:O106)</f>
        <v>1078398.7053400001</v>
      </c>
      <c r="H106" s="37">
        <f t="shared" ref="H106:O111" si="19">SUM(H112,H118,H124,H130,H136,H142,H148,H154,H160,H166)</f>
        <v>27408.394240000001</v>
      </c>
      <c r="I106" s="38">
        <f t="shared" si="19"/>
        <v>86505.815000000017</v>
      </c>
      <c r="J106" s="38">
        <f t="shared" si="19"/>
        <v>164797.62641000003</v>
      </c>
      <c r="K106" s="38">
        <f t="shared" si="19"/>
        <v>339770.44286000001</v>
      </c>
      <c r="L106" s="38">
        <f t="shared" si="19"/>
        <v>328648.64259000006</v>
      </c>
      <c r="M106" s="38">
        <f t="shared" si="19"/>
        <v>131267.78423999998</v>
      </c>
      <c r="N106" s="38">
        <f t="shared" si="19"/>
        <v>0</v>
      </c>
      <c r="O106" s="39">
        <f t="shared" si="19"/>
        <v>0</v>
      </c>
    </row>
    <row r="107" spans="2:15" x14ac:dyDescent="0.25">
      <c r="B107" s="81"/>
      <c r="C107" s="84"/>
      <c r="D107" s="84"/>
      <c r="E107" s="87"/>
      <c r="F107" s="13" t="s">
        <v>2</v>
      </c>
      <c r="G107" s="40">
        <f t="shared" si="14"/>
        <v>790786.66716999991</v>
      </c>
      <c r="H107" s="41">
        <f t="shared" si="19"/>
        <v>23943.79</v>
      </c>
      <c r="I107" s="42">
        <f t="shared" si="19"/>
        <v>84150.000000000015</v>
      </c>
      <c r="J107" s="42">
        <f t="shared" si="19"/>
        <v>121770</v>
      </c>
      <c r="K107" s="42">
        <f t="shared" si="19"/>
        <v>241334.43806000001</v>
      </c>
      <c r="L107" s="42">
        <f t="shared" si="19"/>
        <v>214464.23910999999</v>
      </c>
      <c r="M107" s="42">
        <f t="shared" si="19"/>
        <v>105124.2</v>
      </c>
      <c r="N107" s="42">
        <f t="shared" si="19"/>
        <v>0</v>
      </c>
      <c r="O107" s="43">
        <f t="shared" si="19"/>
        <v>0</v>
      </c>
    </row>
    <row r="108" spans="2:15" x14ac:dyDescent="0.25">
      <c r="B108" s="81"/>
      <c r="C108" s="84"/>
      <c r="D108" s="84"/>
      <c r="E108" s="87"/>
      <c r="F108" s="13" t="s">
        <v>3</v>
      </c>
      <c r="G108" s="40">
        <f t="shared" si="14"/>
        <v>9139.7016199999998</v>
      </c>
      <c r="H108" s="41">
        <f t="shared" si="19"/>
        <v>1500</v>
      </c>
      <c r="I108" s="42">
        <f t="shared" si="19"/>
        <v>849.99999999999989</v>
      </c>
      <c r="J108" s="42">
        <f t="shared" si="19"/>
        <v>1230.00001</v>
      </c>
      <c r="K108" s="42">
        <f t="shared" si="19"/>
        <v>2437.7216000000003</v>
      </c>
      <c r="L108" s="42">
        <f t="shared" si="19"/>
        <v>2166.30546</v>
      </c>
      <c r="M108" s="42">
        <f t="shared" si="19"/>
        <v>955.67455000000007</v>
      </c>
      <c r="N108" s="42">
        <f t="shared" si="19"/>
        <v>0</v>
      </c>
      <c r="O108" s="43">
        <f t="shared" si="19"/>
        <v>0</v>
      </c>
    </row>
    <row r="109" spans="2:15" x14ac:dyDescent="0.25">
      <c r="B109" s="81"/>
      <c r="C109" s="84"/>
      <c r="D109" s="84"/>
      <c r="E109" s="87"/>
      <c r="F109" s="14" t="s">
        <v>55</v>
      </c>
      <c r="G109" s="40">
        <f t="shared" si="14"/>
        <v>201173.88</v>
      </c>
      <c r="H109" s="41">
        <f t="shared" si="19"/>
        <v>0</v>
      </c>
      <c r="I109" s="42">
        <f t="shared" si="19"/>
        <v>0</v>
      </c>
      <c r="J109" s="42">
        <f t="shared" si="19"/>
        <v>37973.879999999997</v>
      </c>
      <c r="K109" s="42">
        <f t="shared" si="19"/>
        <v>90000</v>
      </c>
      <c r="L109" s="42">
        <f t="shared" si="19"/>
        <v>70000</v>
      </c>
      <c r="M109" s="42">
        <f t="shared" si="19"/>
        <v>3200</v>
      </c>
      <c r="N109" s="42">
        <f t="shared" si="19"/>
        <v>0</v>
      </c>
      <c r="O109" s="43">
        <f t="shared" si="19"/>
        <v>0</v>
      </c>
    </row>
    <row r="110" spans="2:15" x14ac:dyDescent="0.25">
      <c r="B110" s="81"/>
      <c r="C110" s="84"/>
      <c r="D110" s="84"/>
      <c r="E110" s="87"/>
      <c r="F110" s="13" t="s">
        <v>4</v>
      </c>
      <c r="G110" s="40">
        <f t="shared" si="14"/>
        <v>77298.456550000003</v>
      </c>
      <c r="H110" s="41">
        <f t="shared" si="19"/>
        <v>1964.6042400000001</v>
      </c>
      <c r="I110" s="42">
        <f t="shared" si="19"/>
        <v>1505.8150000000001</v>
      </c>
      <c r="J110" s="42">
        <f t="shared" si="19"/>
        <v>3823.7464</v>
      </c>
      <c r="K110" s="42">
        <f t="shared" si="19"/>
        <v>5998.2831999999999</v>
      </c>
      <c r="L110" s="42">
        <f t="shared" si="19"/>
        <v>42018.098020000005</v>
      </c>
      <c r="M110" s="42">
        <f t="shared" si="19"/>
        <v>21987.909689999997</v>
      </c>
      <c r="N110" s="42">
        <f t="shared" si="19"/>
        <v>0</v>
      </c>
      <c r="O110" s="43">
        <f t="shared" si="19"/>
        <v>0</v>
      </c>
    </row>
    <row r="111" spans="2:15" x14ac:dyDescent="0.25">
      <c r="B111" s="82"/>
      <c r="C111" s="85"/>
      <c r="D111" s="85"/>
      <c r="E111" s="88"/>
      <c r="F111" s="15" t="s">
        <v>5</v>
      </c>
      <c r="G111" s="44">
        <f t="shared" si="14"/>
        <v>0</v>
      </c>
      <c r="H111" s="45">
        <f t="shared" si="19"/>
        <v>0</v>
      </c>
      <c r="I111" s="46">
        <f t="shared" si="19"/>
        <v>0</v>
      </c>
      <c r="J111" s="46">
        <f t="shared" si="19"/>
        <v>0</v>
      </c>
      <c r="K111" s="46">
        <f t="shared" si="19"/>
        <v>0</v>
      </c>
      <c r="L111" s="46">
        <f t="shared" si="19"/>
        <v>0</v>
      </c>
      <c r="M111" s="46">
        <f t="shared" si="19"/>
        <v>0</v>
      </c>
      <c r="N111" s="46">
        <f t="shared" si="19"/>
        <v>0</v>
      </c>
      <c r="O111" s="47">
        <f t="shared" si="19"/>
        <v>0</v>
      </c>
    </row>
    <row r="112" spans="2:15" ht="15.75" customHeight="1" x14ac:dyDescent="0.25">
      <c r="B112" s="71" t="s">
        <v>19</v>
      </c>
      <c r="C112" s="74" t="s">
        <v>61</v>
      </c>
      <c r="D112" s="74">
        <v>2018</v>
      </c>
      <c r="E112" s="77" t="s">
        <v>10</v>
      </c>
      <c r="F112" s="35" t="s">
        <v>1</v>
      </c>
      <c r="G112" s="48">
        <f t="shared" si="14"/>
        <v>666.06500000000005</v>
      </c>
      <c r="H112" s="49">
        <f>SUM(H113:H117)</f>
        <v>666.06500000000005</v>
      </c>
      <c r="I112" s="50">
        <f t="shared" ref="I112:O112" si="20">SUM(I113:I117)</f>
        <v>0</v>
      </c>
      <c r="J112" s="50">
        <f t="shared" si="20"/>
        <v>0</v>
      </c>
      <c r="K112" s="50">
        <f t="shared" si="20"/>
        <v>0</v>
      </c>
      <c r="L112" s="50">
        <f t="shared" si="20"/>
        <v>0</v>
      </c>
      <c r="M112" s="50">
        <f t="shared" si="20"/>
        <v>0</v>
      </c>
      <c r="N112" s="50">
        <f t="shared" si="20"/>
        <v>0</v>
      </c>
      <c r="O112" s="51">
        <f t="shared" si="20"/>
        <v>0</v>
      </c>
    </row>
    <row r="113" spans="2:17" x14ac:dyDescent="0.25">
      <c r="B113" s="72"/>
      <c r="C113" s="75"/>
      <c r="D113" s="75"/>
      <c r="E113" s="78"/>
      <c r="F113" s="19" t="s">
        <v>2</v>
      </c>
      <c r="G113" s="52">
        <f t="shared" si="14"/>
        <v>0</v>
      </c>
      <c r="H113" s="53"/>
      <c r="I113" s="16"/>
      <c r="J113" s="16"/>
      <c r="K113" s="16"/>
      <c r="L113" s="16">
        <v>0</v>
      </c>
      <c r="M113" s="16">
        <v>0</v>
      </c>
      <c r="N113" s="16"/>
      <c r="O113" s="54"/>
    </row>
    <row r="114" spans="2:17" x14ac:dyDescent="0.25">
      <c r="B114" s="72"/>
      <c r="C114" s="75"/>
      <c r="D114" s="75"/>
      <c r="E114" s="78"/>
      <c r="F114" s="19" t="s">
        <v>3</v>
      </c>
      <c r="G114" s="52">
        <f t="shared" si="14"/>
        <v>0</v>
      </c>
      <c r="H114" s="53"/>
      <c r="I114" s="16"/>
      <c r="J114" s="16"/>
      <c r="K114" s="16"/>
      <c r="L114" s="16">
        <v>0</v>
      </c>
      <c r="M114" s="16">
        <v>0</v>
      </c>
      <c r="N114" s="16"/>
      <c r="O114" s="54"/>
    </row>
    <row r="115" spans="2:17" x14ac:dyDescent="0.25">
      <c r="B115" s="72"/>
      <c r="C115" s="75"/>
      <c r="D115" s="75"/>
      <c r="E115" s="78"/>
      <c r="F115" s="20" t="s">
        <v>55</v>
      </c>
      <c r="G115" s="52">
        <f t="shared" si="14"/>
        <v>0</v>
      </c>
      <c r="H115" s="53"/>
      <c r="I115" s="16"/>
      <c r="J115" s="16"/>
      <c r="K115" s="16"/>
      <c r="L115" s="16">
        <v>0</v>
      </c>
      <c r="M115" s="17">
        <v>0</v>
      </c>
      <c r="N115" s="16"/>
      <c r="O115" s="54"/>
    </row>
    <row r="116" spans="2:17" x14ac:dyDescent="0.25">
      <c r="B116" s="72"/>
      <c r="C116" s="75"/>
      <c r="D116" s="75"/>
      <c r="E116" s="78"/>
      <c r="F116" s="19" t="s">
        <v>4</v>
      </c>
      <c r="G116" s="52">
        <f t="shared" si="14"/>
        <v>666.06500000000005</v>
      </c>
      <c r="H116" s="53">
        <v>666.06500000000005</v>
      </c>
      <c r="I116" s="16"/>
      <c r="J116" s="16"/>
      <c r="K116" s="16"/>
      <c r="L116" s="16">
        <v>0</v>
      </c>
      <c r="M116" s="17">
        <v>0</v>
      </c>
      <c r="N116" s="16"/>
      <c r="O116" s="54"/>
    </row>
    <row r="117" spans="2:17" x14ac:dyDescent="0.25">
      <c r="B117" s="73"/>
      <c r="C117" s="76"/>
      <c r="D117" s="76"/>
      <c r="E117" s="79"/>
      <c r="F117" s="21" t="s">
        <v>5</v>
      </c>
      <c r="G117" s="55">
        <f t="shared" si="14"/>
        <v>0</v>
      </c>
      <c r="H117" s="56"/>
      <c r="I117" s="18"/>
      <c r="J117" s="18"/>
      <c r="K117" s="18"/>
      <c r="L117" s="18">
        <v>0</v>
      </c>
      <c r="M117" s="18">
        <v>0</v>
      </c>
      <c r="N117" s="18"/>
      <c r="O117" s="57"/>
    </row>
    <row r="118" spans="2:17" ht="15.75" customHeight="1" x14ac:dyDescent="0.25">
      <c r="B118" s="71" t="s">
        <v>39</v>
      </c>
      <c r="C118" s="74" t="s">
        <v>53</v>
      </c>
      <c r="D118" s="74" t="s">
        <v>69</v>
      </c>
      <c r="E118" s="77" t="s">
        <v>10</v>
      </c>
      <c r="F118" s="35" t="s">
        <v>1</v>
      </c>
      <c r="G118" s="48">
        <f t="shared" si="14"/>
        <v>1014259.9164200001</v>
      </c>
      <c r="H118" s="49">
        <f>SUM(H119:H123)</f>
        <v>26140.33</v>
      </c>
      <c r="I118" s="50">
        <f t="shared" ref="I118:O118" si="21">SUM(I119:I123)</f>
        <v>83115.000000000015</v>
      </c>
      <c r="J118" s="50">
        <f t="shared" si="21"/>
        <v>148452.31001000002</v>
      </c>
      <c r="K118" s="50">
        <f t="shared" si="21"/>
        <v>336291.84286000003</v>
      </c>
      <c r="L118" s="50">
        <f t="shared" si="21"/>
        <v>301704.48481000005</v>
      </c>
      <c r="M118" s="50">
        <f t="shared" si="21"/>
        <v>118555.94873999999</v>
      </c>
      <c r="N118" s="50">
        <f t="shared" si="21"/>
        <v>0</v>
      </c>
      <c r="O118" s="51">
        <f t="shared" si="21"/>
        <v>0</v>
      </c>
    </row>
    <row r="119" spans="2:17" x14ac:dyDescent="0.25">
      <c r="B119" s="72"/>
      <c r="C119" s="75"/>
      <c r="D119" s="75"/>
      <c r="E119" s="78"/>
      <c r="F119" s="19" t="s">
        <v>2</v>
      </c>
      <c r="G119" s="52">
        <f t="shared" si="14"/>
        <v>787480.06716999994</v>
      </c>
      <c r="H119" s="53">
        <f>23943.79</f>
        <v>23943.79</v>
      </c>
      <c r="I119" s="16">
        <f>9481.70793+20079.27733+21728.70919+26589.6127+1116.06066+110.88396+294.03+289.08+2594.48823</f>
        <v>82283.85000000002</v>
      </c>
      <c r="J119" s="16">
        <v>120329.55</v>
      </c>
      <c r="K119" s="16">
        <f>28287.55908+66317.13+33228.06563+43919.69274+17925.25779+51656.73282</f>
        <v>241334.43806000001</v>
      </c>
      <c r="L119" s="16">
        <f>227578.56939-15.64974-8602.68606-211.92882-4284.06566</f>
        <v>214464.23910999999</v>
      </c>
      <c r="M119" s="16">
        <f>95319.51952+9900-95.31952</f>
        <v>105124.2</v>
      </c>
      <c r="N119" s="16"/>
      <c r="O119" s="54"/>
    </row>
    <row r="120" spans="2:17" x14ac:dyDescent="0.25">
      <c r="B120" s="72"/>
      <c r="C120" s="75"/>
      <c r="D120" s="75"/>
      <c r="E120" s="78"/>
      <c r="F120" s="19" t="s">
        <v>3</v>
      </c>
      <c r="G120" s="52">
        <f t="shared" si="14"/>
        <v>9106.3016200000002</v>
      </c>
      <c r="H120" s="53">
        <v>1500</v>
      </c>
      <c r="I120" s="16">
        <f>95.77483+202.82098+219.48191+268.58195+11.27334+1.12004+2.97+2.92+26.20695</f>
        <v>831.15</v>
      </c>
      <c r="J120" s="16">
        <v>1215.45001</v>
      </c>
      <c r="K120" s="16">
        <f>285.73292+669.87+335.63703+443.63326+181.06321+521.78518</f>
        <v>2437.7216000000003</v>
      </c>
      <c r="L120" s="16">
        <f>2068.89609+15.64974-86.89582+211.92882-43.27337</f>
        <v>2166.30546</v>
      </c>
      <c r="M120" s="16">
        <f>866.54109+90-0.86654</f>
        <v>955.67455000000007</v>
      </c>
      <c r="N120" s="16"/>
      <c r="O120" s="54"/>
      <c r="P120" s="10"/>
      <c r="Q120" s="10"/>
    </row>
    <row r="121" spans="2:17" x14ac:dyDescent="0.25">
      <c r="B121" s="72"/>
      <c r="C121" s="75"/>
      <c r="D121" s="75"/>
      <c r="E121" s="78"/>
      <c r="F121" s="20" t="s">
        <v>55</v>
      </c>
      <c r="G121" s="52">
        <f t="shared" si="14"/>
        <v>186907.31</v>
      </c>
      <c r="H121" s="53"/>
      <c r="I121" s="16"/>
      <c r="J121" s="16">
        <f>26907.31</f>
        <v>26907.31</v>
      </c>
      <c r="K121" s="16">
        <v>90000</v>
      </c>
      <c r="L121" s="16">
        <f>70000+52984.7768-52984.7768</f>
        <v>70000</v>
      </c>
      <c r="M121" s="17">
        <v>0</v>
      </c>
      <c r="N121" s="16"/>
      <c r="O121" s="54"/>
      <c r="P121" s="10"/>
    </row>
    <row r="122" spans="2:17" x14ac:dyDescent="0.25">
      <c r="B122" s="72"/>
      <c r="C122" s="75"/>
      <c r="D122" s="75"/>
      <c r="E122" s="78"/>
      <c r="F122" s="19" t="s">
        <v>4</v>
      </c>
      <c r="G122" s="52">
        <f t="shared" si="14"/>
        <v>30766.237629999996</v>
      </c>
      <c r="H122" s="53">
        <v>696.54</v>
      </c>
      <c r="I122" s="16"/>
      <c r="J122" s="16"/>
      <c r="K122" s="16">
        <f>1535.232+984.4512</f>
        <v>2519.6831999999999</v>
      </c>
      <c r="L122" s="16">
        <f>70.07007+53.03782+14677.4148+273.41755</f>
        <v>15073.94024</v>
      </c>
      <c r="M122" s="17">
        <f>96.28234+19999.99975+9.90372-1192.5764-3672.33044-1252.22213-57.81658-1455.16607</f>
        <v>12476.074189999998</v>
      </c>
      <c r="N122" s="16"/>
      <c r="O122" s="54"/>
    </row>
    <row r="123" spans="2:17" x14ac:dyDescent="0.25">
      <c r="B123" s="73"/>
      <c r="C123" s="76"/>
      <c r="D123" s="76"/>
      <c r="E123" s="79"/>
      <c r="F123" s="21" t="s">
        <v>5</v>
      </c>
      <c r="G123" s="55">
        <f t="shared" si="14"/>
        <v>0</v>
      </c>
      <c r="H123" s="56"/>
      <c r="I123" s="18"/>
      <c r="J123" s="18"/>
      <c r="K123" s="18"/>
      <c r="L123" s="18">
        <v>0</v>
      </c>
      <c r="M123" s="18">
        <v>0</v>
      </c>
      <c r="N123" s="18"/>
      <c r="O123" s="57"/>
      <c r="Q123" s="5" t="s">
        <v>67</v>
      </c>
    </row>
    <row r="124" spans="2:17" ht="15.75" customHeight="1" x14ac:dyDescent="0.25">
      <c r="B124" s="71" t="s">
        <v>40</v>
      </c>
      <c r="C124" s="74" t="s">
        <v>74</v>
      </c>
      <c r="D124" s="74" t="s">
        <v>68</v>
      </c>
      <c r="E124" s="77" t="s">
        <v>10</v>
      </c>
      <c r="F124" s="35" t="s">
        <v>1</v>
      </c>
      <c r="G124" s="48">
        <f t="shared" si="14"/>
        <v>14491.064180000001</v>
      </c>
      <c r="H124" s="49">
        <f>SUM(H125:H129)</f>
        <v>100</v>
      </c>
      <c r="I124" s="50">
        <f t="shared" ref="I124:O124" si="22">SUM(I125:I129)</f>
        <v>654.99999999999989</v>
      </c>
      <c r="J124" s="50">
        <f t="shared" si="22"/>
        <v>2924.5364</v>
      </c>
      <c r="K124" s="50">
        <f t="shared" si="22"/>
        <v>3365</v>
      </c>
      <c r="L124" s="50">
        <f t="shared" si="22"/>
        <v>7446.5277800000003</v>
      </c>
      <c r="M124" s="50">
        <f t="shared" si="22"/>
        <v>0</v>
      </c>
      <c r="N124" s="50">
        <f t="shared" si="22"/>
        <v>0</v>
      </c>
      <c r="O124" s="51">
        <f t="shared" si="22"/>
        <v>0</v>
      </c>
    </row>
    <row r="125" spans="2:17" x14ac:dyDescent="0.25">
      <c r="B125" s="72"/>
      <c r="C125" s="75"/>
      <c r="D125" s="75"/>
      <c r="E125" s="78"/>
      <c r="F125" s="19" t="s">
        <v>2</v>
      </c>
      <c r="G125" s="52">
        <f t="shared" si="14"/>
        <v>549.44999999999993</v>
      </c>
      <c r="H125" s="53"/>
      <c r="I125" s="16">
        <f>89.1+178.2+282.15</f>
        <v>549.44999999999993</v>
      </c>
      <c r="J125" s="16"/>
      <c r="K125" s="16"/>
      <c r="L125" s="16">
        <v>0</v>
      </c>
      <c r="M125" s="16">
        <v>0</v>
      </c>
      <c r="N125" s="16"/>
      <c r="O125" s="54"/>
    </row>
    <row r="126" spans="2:17" x14ac:dyDescent="0.25">
      <c r="B126" s="72"/>
      <c r="C126" s="75"/>
      <c r="D126" s="75"/>
      <c r="E126" s="78"/>
      <c r="F126" s="19" t="s">
        <v>3</v>
      </c>
      <c r="G126" s="52">
        <f t="shared" si="14"/>
        <v>5.5500000000000007</v>
      </c>
      <c r="H126" s="53"/>
      <c r="I126" s="16">
        <f>0.9+1.8+2.85</f>
        <v>5.5500000000000007</v>
      </c>
      <c r="J126" s="16"/>
      <c r="K126" s="16"/>
      <c r="L126" s="16">
        <v>0</v>
      </c>
      <c r="M126" s="16">
        <v>0</v>
      </c>
      <c r="N126" s="16"/>
      <c r="O126" s="54"/>
    </row>
    <row r="127" spans="2:17" x14ac:dyDescent="0.25">
      <c r="B127" s="72"/>
      <c r="C127" s="75"/>
      <c r="D127" s="75"/>
      <c r="E127" s="78"/>
      <c r="F127" s="20" t="s">
        <v>55</v>
      </c>
      <c r="G127" s="52">
        <f t="shared" si="14"/>
        <v>0</v>
      </c>
      <c r="H127" s="53"/>
      <c r="I127" s="16"/>
      <c r="J127" s="16"/>
      <c r="K127" s="16"/>
      <c r="L127" s="16">
        <v>0</v>
      </c>
      <c r="M127" s="17">
        <v>0</v>
      </c>
      <c r="N127" s="16"/>
      <c r="O127" s="54"/>
    </row>
    <row r="128" spans="2:17" x14ac:dyDescent="0.25">
      <c r="B128" s="72"/>
      <c r="C128" s="75"/>
      <c r="D128" s="75"/>
      <c r="E128" s="78"/>
      <c r="F128" s="19" t="s">
        <v>4</v>
      </c>
      <c r="G128" s="52">
        <f t="shared" si="14"/>
        <v>13936.064180000001</v>
      </c>
      <c r="H128" s="53">
        <f>100</f>
        <v>100</v>
      </c>
      <c r="I128" s="16">
        <f>100</f>
        <v>100</v>
      </c>
      <c r="J128" s="16">
        <f>2884.5364+40</f>
        <v>2924.5364</v>
      </c>
      <c r="K128" s="16">
        <f>598+595+598+385+590+599</f>
        <v>3365</v>
      </c>
      <c r="L128" s="16">
        <f>5757.02193+1689.50585</f>
        <v>7446.5277800000003</v>
      </c>
      <c r="M128" s="17">
        <v>0</v>
      </c>
      <c r="N128" s="16"/>
      <c r="O128" s="54"/>
    </row>
    <row r="129" spans="2:15" x14ac:dyDescent="0.25">
      <c r="B129" s="73"/>
      <c r="C129" s="76"/>
      <c r="D129" s="76"/>
      <c r="E129" s="79"/>
      <c r="F129" s="21" t="s">
        <v>5</v>
      </c>
      <c r="G129" s="55">
        <f t="shared" si="14"/>
        <v>0</v>
      </c>
      <c r="H129" s="56"/>
      <c r="I129" s="18"/>
      <c r="J129" s="18"/>
      <c r="K129" s="18"/>
      <c r="L129" s="18">
        <v>0</v>
      </c>
      <c r="M129" s="18">
        <v>0</v>
      </c>
      <c r="N129" s="18"/>
      <c r="O129" s="57"/>
    </row>
    <row r="130" spans="2:15" ht="15.75" customHeight="1" x14ac:dyDescent="0.25">
      <c r="B130" s="71" t="s">
        <v>41</v>
      </c>
      <c r="C130" s="74" t="s">
        <v>58</v>
      </c>
      <c r="D130" s="74" t="s">
        <v>85</v>
      </c>
      <c r="E130" s="77" t="s">
        <v>48</v>
      </c>
      <c r="F130" s="35" t="s">
        <v>1</v>
      </c>
      <c r="G130" s="48">
        <f t="shared" si="14"/>
        <v>7701.2092400000001</v>
      </c>
      <c r="H130" s="49">
        <f>SUM(H131:H135)</f>
        <v>501.99923999999999</v>
      </c>
      <c r="I130" s="50">
        <f t="shared" ref="I130:O130" si="23">SUM(I131:I135)</f>
        <v>0</v>
      </c>
      <c r="J130" s="50">
        <f t="shared" si="23"/>
        <v>6599.21</v>
      </c>
      <c r="K130" s="50">
        <f t="shared" si="23"/>
        <v>0</v>
      </c>
      <c r="L130" s="50">
        <f t="shared" si="23"/>
        <v>600</v>
      </c>
      <c r="M130" s="50">
        <f t="shared" si="23"/>
        <v>0</v>
      </c>
      <c r="N130" s="50">
        <f t="shared" si="23"/>
        <v>0</v>
      </c>
      <c r="O130" s="51">
        <f t="shared" si="23"/>
        <v>0</v>
      </c>
    </row>
    <row r="131" spans="2:15" x14ac:dyDescent="0.25">
      <c r="B131" s="72"/>
      <c r="C131" s="75"/>
      <c r="D131" s="75"/>
      <c r="E131" s="78"/>
      <c r="F131" s="19" t="s">
        <v>2</v>
      </c>
      <c r="G131" s="52">
        <f t="shared" si="14"/>
        <v>0</v>
      </c>
      <c r="H131" s="53"/>
      <c r="I131" s="16"/>
      <c r="J131" s="16"/>
      <c r="K131" s="16"/>
      <c r="L131" s="16">
        <v>0</v>
      </c>
      <c r="M131" s="16">
        <v>0</v>
      </c>
      <c r="N131" s="16"/>
      <c r="O131" s="54"/>
    </row>
    <row r="132" spans="2:15" x14ac:dyDescent="0.25">
      <c r="B132" s="72"/>
      <c r="C132" s="75"/>
      <c r="D132" s="75"/>
      <c r="E132" s="78"/>
      <c r="F132" s="19" t="s">
        <v>3</v>
      </c>
      <c r="G132" s="52">
        <f t="shared" si="14"/>
        <v>0</v>
      </c>
      <c r="H132" s="53"/>
      <c r="I132" s="16"/>
      <c r="J132" s="16"/>
      <c r="K132" s="16"/>
      <c r="L132" s="16">
        <v>0</v>
      </c>
      <c r="M132" s="16">
        <v>0</v>
      </c>
      <c r="N132" s="16"/>
      <c r="O132" s="54"/>
    </row>
    <row r="133" spans="2:15" x14ac:dyDescent="0.25">
      <c r="B133" s="72"/>
      <c r="C133" s="75"/>
      <c r="D133" s="75"/>
      <c r="E133" s="78"/>
      <c r="F133" s="20" t="s">
        <v>55</v>
      </c>
      <c r="G133" s="52">
        <f t="shared" si="14"/>
        <v>5700</v>
      </c>
      <c r="H133" s="53"/>
      <c r="I133" s="16"/>
      <c r="J133" s="16">
        <v>5700</v>
      </c>
      <c r="K133" s="16"/>
      <c r="L133" s="16">
        <v>0</v>
      </c>
      <c r="M133" s="17">
        <v>0</v>
      </c>
      <c r="N133" s="16"/>
      <c r="O133" s="54"/>
    </row>
    <row r="134" spans="2:15" x14ac:dyDescent="0.25">
      <c r="B134" s="72"/>
      <c r="C134" s="75"/>
      <c r="D134" s="75"/>
      <c r="E134" s="78"/>
      <c r="F134" s="19" t="s">
        <v>4</v>
      </c>
      <c r="G134" s="52">
        <f t="shared" ref="G134:G176" si="24">SUM(H134:O134)</f>
        <v>2001.2092400000001</v>
      </c>
      <c r="H134" s="53">
        <v>501.99923999999999</v>
      </c>
      <c r="I134" s="16"/>
      <c r="J134" s="16">
        <f>1149.21-250</f>
        <v>899.21</v>
      </c>
      <c r="K134" s="16">
        <v>0</v>
      </c>
      <c r="L134" s="16">
        <v>600</v>
      </c>
      <c r="M134" s="17">
        <v>0</v>
      </c>
      <c r="N134" s="16"/>
      <c r="O134" s="54"/>
    </row>
    <row r="135" spans="2:15" x14ac:dyDescent="0.25">
      <c r="B135" s="73"/>
      <c r="C135" s="76"/>
      <c r="D135" s="76"/>
      <c r="E135" s="79"/>
      <c r="F135" s="21" t="s">
        <v>5</v>
      </c>
      <c r="G135" s="55">
        <f t="shared" si="24"/>
        <v>0</v>
      </c>
      <c r="H135" s="56"/>
      <c r="I135" s="18"/>
      <c r="J135" s="18"/>
      <c r="K135" s="18"/>
      <c r="L135" s="18">
        <v>0</v>
      </c>
      <c r="M135" s="18">
        <v>0</v>
      </c>
      <c r="N135" s="18"/>
      <c r="O135" s="57"/>
    </row>
    <row r="136" spans="2:15" ht="15.75" customHeight="1" x14ac:dyDescent="0.25">
      <c r="B136" s="71" t="s">
        <v>42</v>
      </c>
      <c r="C136" s="74" t="s">
        <v>62</v>
      </c>
      <c r="D136" s="74">
        <v>2019</v>
      </c>
      <c r="E136" s="77" t="s">
        <v>10</v>
      </c>
      <c r="F136" s="35" t="s">
        <v>1</v>
      </c>
      <c r="G136" s="48">
        <f t="shared" si="24"/>
        <v>1405.8150000000001</v>
      </c>
      <c r="H136" s="49">
        <f>SUM(H137:H141)</f>
        <v>0</v>
      </c>
      <c r="I136" s="50">
        <f t="shared" ref="I136:O136" si="25">SUM(I137:I141)</f>
        <v>1405.8150000000001</v>
      </c>
      <c r="J136" s="50">
        <f t="shared" si="25"/>
        <v>0</v>
      </c>
      <c r="K136" s="50">
        <f t="shared" si="25"/>
        <v>0</v>
      </c>
      <c r="L136" s="50">
        <f t="shared" si="25"/>
        <v>0</v>
      </c>
      <c r="M136" s="50">
        <f t="shared" si="25"/>
        <v>0</v>
      </c>
      <c r="N136" s="50">
        <f t="shared" si="25"/>
        <v>0</v>
      </c>
      <c r="O136" s="51">
        <f t="shared" si="25"/>
        <v>0</v>
      </c>
    </row>
    <row r="137" spans="2:15" x14ac:dyDescent="0.25">
      <c r="B137" s="72"/>
      <c r="C137" s="75"/>
      <c r="D137" s="75"/>
      <c r="E137" s="78"/>
      <c r="F137" s="19" t="s">
        <v>2</v>
      </c>
      <c r="G137" s="52">
        <f t="shared" si="24"/>
        <v>0</v>
      </c>
      <c r="H137" s="53"/>
      <c r="I137" s="16"/>
      <c r="J137" s="16"/>
      <c r="K137" s="16"/>
      <c r="L137" s="16">
        <v>0</v>
      </c>
      <c r="M137" s="16">
        <v>0</v>
      </c>
      <c r="N137" s="16"/>
      <c r="O137" s="54"/>
    </row>
    <row r="138" spans="2:15" x14ac:dyDescent="0.25">
      <c r="B138" s="72"/>
      <c r="C138" s="75"/>
      <c r="D138" s="75"/>
      <c r="E138" s="78"/>
      <c r="F138" s="19" t="s">
        <v>3</v>
      </c>
      <c r="G138" s="52">
        <f t="shared" si="24"/>
        <v>0</v>
      </c>
      <c r="H138" s="53"/>
      <c r="I138" s="16"/>
      <c r="J138" s="16"/>
      <c r="K138" s="16"/>
      <c r="L138" s="16">
        <v>0</v>
      </c>
      <c r="M138" s="16">
        <v>0</v>
      </c>
      <c r="N138" s="16"/>
      <c r="O138" s="54"/>
    </row>
    <row r="139" spans="2:15" x14ac:dyDescent="0.25">
      <c r="B139" s="72"/>
      <c r="C139" s="75"/>
      <c r="D139" s="75"/>
      <c r="E139" s="78"/>
      <c r="F139" s="20" t="s">
        <v>55</v>
      </c>
      <c r="G139" s="52">
        <f t="shared" si="24"/>
        <v>0</v>
      </c>
      <c r="H139" s="53"/>
      <c r="I139" s="16"/>
      <c r="J139" s="16"/>
      <c r="K139" s="16"/>
      <c r="L139" s="16">
        <v>0</v>
      </c>
      <c r="M139" s="17">
        <v>0</v>
      </c>
      <c r="N139" s="16"/>
      <c r="O139" s="54"/>
    </row>
    <row r="140" spans="2:15" x14ac:dyDescent="0.25">
      <c r="B140" s="72"/>
      <c r="C140" s="75"/>
      <c r="D140" s="75"/>
      <c r="E140" s="78"/>
      <c r="F140" s="19" t="s">
        <v>4</v>
      </c>
      <c r="G140" s="52">
        <f t="shared" si="24"/>
        <v>1405.8150000000001</v>
      </c>
      <c r="H140" s="53"/>
      <c r="I140" s="16">
        <v>1405.8150000000001</v>
      </c>
      <c r="J140" s="16"/>
      <c r="K140" s="16"/>
      <c r="L140" s="16">
        <v>0</v>
      </c>
      <c r="M140" s="17">
        <v>0</v>
      </c>
      <c r="N140" s="16"/>
      <c r="O140" s="54"/>
    </row>
    <row r="141" spans="2:15" x14ac:dyDescent="0.25">
      <c r="B141" s="73"/>
      <c r="C141" s="76"/>
      <c r="D141" s="76"/>
      <c r="E141" s="79"/>
      <c r="F141" s="21" t="s">
        <v>5</v>
      </c>
      <c r="G141" s="55">
        <f t="shared" si="24"/>
        <v>0</v>
      </c>
      <c r="H141" s="56"/>
      <c r="I141" s="18"/>
      <c r="J141" s="18"/>
      <c r="K141" s="18"/>
      <c r="L141" s="18">
        <v>0</v>
      </c>
      <c r="M141" s="18">
        <v>0</v>
      </c>
      <c r="N141" s="18"/>
      <c r="O141" s="57"/>
    </row>
    <row r="142" spans="2:15" ht="15.75" customHeight="1" x14ac:dyDescent="0.25">
      <c r="B142" s="71" t="s">
        <v>43</v>
      </c>
      <c r="C142" s="74" t="s">
        <v>54</v>
      </c>
      <c r="D142" s="74" t="s">
        <v>49</v>
      </c>
      <c r="E142" s="77" t="s">
        <v>10</v>
      </c>
      <c r="F142" s="35" t="s">
        <v>1</v>
      </c>
      <c r="G142" s="48">
        <f t="shared" si="24"/>
        <v>2635</v>
      </c>
      <c r="H142" s="49">
        <f>SUM(H143:H147)</f>
        <v>0</v>
      </c>
      <c r="I142" s="50">
        <f t="shared" ref="I142:O142" si="26">SUM(I143:I147)</f>
        <v>1180</v>
      </c>
      <c r="J142" s="50">
        <f t="shared" si="26"/>
        <v>1455</v>
      </c>
      <c r="K142" s="50">
        <f t="shared" si="26"/>
        <v>0</v>
      </c>
      <c r="L142" s="50">
        <f t="shared" si="26"/>
        <v>0</v>
      </c>
      <c r="M142" s="50">
        <f t="shared" si="26"/>
        <v>0</v>
      </c>
      <c r="N142" s="50">
        <f t="shared" si="26"/>
        <v>0</v>
      </c>
      <c r="O142" s="51">
        <f t="shared" si="26"/>
        <v>0</v>
      </c>
    </row>
    <row r="143" spans="2:15" x14ac:dyDescent="0.25">
      <c r="B143" s="72"/>
      <c r="C143" s="75"/>
      <c r="D143" s="75"/>
      <c r="E143" s="78"/>
      <c r="F143" s="19" t="s">
        <v>2</v>
      </c>
      <c r="G143" s="52">
        <f t="shared" si="24"/>
        <v>2608.65</v>
      </c>
      <c r="H143" s="53"/>
      <c r="I143" s="16">
        <f>292.05+292.05+292.05+292.05</f>
        <v>1168.2</v>
      </c>
      <c r="J143" s="16">
        <v>1440.45</v>
      </c>
      <c r="K143" s="16"/>
      <c r="L143" s="16">
        <v>0</v>
      </c>
      <c r="M143" s="16">
        <v>0</v>
      </c>
      <c r="N143" s="16"/>
      <c r="O143" s="54"/>
    </row>
    <row r="144" spans="2:15" x14ac:dyDescent="0.25">
      <c r="B144" s="72"/>
      <c r="C144" s="75"/>
      <c r="D144" s="75"/>
      <c r="E144" s="78"/>
      <c r="F144" s="19" t="s">
        <v>3</v>
      </c>
      <c r="G144" s="52">
        <f t="shared" si="24"/>
        <v>26.35</v>
      </c>
      <c r="H144" s="53"/>
      <c r="I144" s="16">
        <f>2.95+2.95+2.95+2.95</f>
        <v>11.8</v>
      </c>
      <c r="J144" s="16">
        <v>14.55</v>
      </c>
      <c r="K144" s="16"/>
      <c r="L144" s="16">
        <v>0</v>
      </c>
      <c r="M144" s="16">
        <v>0</v>
      </c>
      <c r="N144" s="16"/>
      <c r="O144" s="54"/>
    </row>
    <row r="145" spans="2:15" x14ac:dyDescent="0.25">
      <c r="B145" s="72"/>
      <c r="C145" s="75"/>
      <c r="D145" s="75"/>
      <c r="E145" s="78"/>
      <c r="F145" s="20" t="s">
        <v>55</v>
      </c>
      <c r="G145" s="52">
        <f t="shared" si="24"/>
        <v>0</v>
      </c>
      <c r="H145" s="53"/>
      <c r="I145" s="16"/>
      <c r="J145" s="16"/>
      <c r="K145" s="16"/>
      <c r="L145" s="16">
        <v>0</v>
      </c>
      <c r="M145" s="17">
        <v>0</v>
      </c>
      <c r="N145" s="16"/>
      <c r="O145" s="54"/>
    </row>
    <row r="146" spans="2:15" x14ac:dyDescent="0.25">
      <c r="B146" s="72"/>
      <c r="C146" s="75"/>
      <c r="D146" s="75"/>
      <c r="E146" s="78"/>
      <c r="F146" s="19" t="s">
        <v>4</v>
      </c>
      <c r="G146" s="52">
        <f t="shared" si="24"/>
        <v>0</v>
      </c>
      <c r="H146" s="53"/>
      <c r="I146" s="16"/>
      <c r="J146" s="16"/>
      <c r="K146" s="16"/>
      <c r="L146" s="16">
        <v>0</v>
      </c>
      <c r="M146" s="17">
        <v>0</v>
      </c>
      <c r="N146" s="16"/>
      <c r="O146" s="54"/>
    </row>
    <row r="147" spans="2:15" x14ac:dyDescent="0.25">
      <c r="B147" s="73"/>
      <c r="C147" s="76"/>
      <c r="D147" s="76"/>
      <c r="E147" s="79"/>
      <c r="F147" s="21" t="s">
        <v>5</v>
      </c>
      <c r="G147" s="55">
        <f t="shared" si="24"/>
        <v>0</v>
      </c>
      <c r="H147" s="56"/>
      <c r="I147" s="18"/>
      <c r="J147" s="18"/>
      <c r="K147" s="18"/>
      <c r="L147" s="18">
        <v>0</v>
      </c>
      <c r="M147" s="18">
        <v>0</v>
      </c>
      <c r="N147" s="18"/>
      <c r="O147" s="57"/>
    </row>
    <row r="148" spans="2:15" ht="15.75" customHeight="1" x14ac:dyDescent="0.25">
      <c r="B148" s="71" t="s">
        <v>45</v>
      </c>
      <c r="C148" s="74" t="s">
        <v>50</v>
      </c>
      <c r="D148" s="74">
        <v>2019</v>
      </c>
      <c r="E148" s="77" t="s">
        <v>10</v>
      </c>
      <c r="F148" s="35" t="s">
        <v>1</v>
      </c>
      <c r="G148" s="48">
        <f t="shared" si="24"/>
        <v>150</v>
      </c>
      <c r="H148" s="49">
        <f>SUM(H149:H153)</f>
        <v>0</v>
      </c>
      <c r="I148" s="50">
        <f t="shared" ref="I148:O148" si="27">SUM(I149:I153)</f>
        <v>150</v>
      </c>
      <c r="J148" s="50">
        <f t="shared" si="27"/>
        <v>0</v>
      </c>
      <c r="K148" s="50">
        <f t="shared" si="27"/>
        <v>0</v>
      </c>
      <c r="L148" s="50">
        <f t="shared" si="27"/>
        <v>0</v>
      </c>
      <c r="M148" s="50">
        <f t="shared" si="27"/>
        <v>0</v>
      </c>
      <c r="N148" s="50">
        <f t="shared" si="27"/>
        <v>0</v>
      </c>
      <c r="O148" s="51">
        <f t="shared" si="27"/>
        <v>0</v>
      </c>
    </row>
    <row r="149" spans="2:15" x14ac:dyDescent="0.25">
      <c r="B149" s="72"/>
      <c r="C149" s="75"/>
      <c r="D149" s="75"/>
      <c r="E149" s="78"/>
      <c r="F149" s="19" t="s">
        <v>2</v>
      </c>
      <c r="G149" s="52">
        <f t="shared" si="24"/>
        <v>148.5</v>
      </c>
      <c r="H149" s="53"/>
      <c r="I149" s="16">
        <f>150*0.99</f>
        <v>148.5</v>
      </c>
      <c r="J149" s="16"/>
      <c r="K149" s="16"/>
      <c r="L149" s="16">
        <v>0</v>
      </c>
      <c r="M149" s="16">
        <v>0</v>
      </c>
      <c r="N149" s="16"/>
      <c r="O149" s="54"/>
    </row>
    <row r="150" spans="2:15" x14ac:dyDescent="0.25">
      <c r="B150" s="72"/>
      <c r="C150" s="75"/>
      <c r="D150" s="75"/>
      <c r="E150" s="78"/>
      <c r="F150" s="19" t="s">
        <v>3</v>
      </c>
      <c r="G150" s="52">
        <f t="shared" si="24"/>
        <v>1.5</v>
      </c>
      <c r="H150" s="53"/>
      <c r="I150" s="16">
        <f>150*0.01</f>
        <v>1.5</v>
      </c>
      <c r="J150" s="16"/>
      <c r="K150" s="16"/>
      <c r="L150" s="16">
        <v>0</v>
      </c>
      <c r="M150" s="16">
        <v>0</v>
      </c>
      <c r="N150" s="16"/>
      <c r="O150" s="54"/>
    </row>
    <row r="151" spans="2:15" x14ac:dyDescent="0.25">
      <c r="B151" s="72"/>
      <c r="C151" s="75"/>
      <c r="D151" s="75"/>
      <c r="E151" s="78"/>
      <c r="F151" s="20" t="s">
        <v>55</v>
      </c>
      <c r="G151" s="52">
        <f t="shared" si="24"/>
        <v>0</v>
      </c>
      <c r="H151" s="53"/>
      <c r="I151" s="16"/>
      <c r="J151" s="16"/>
      <c r="K151" s="16"/>
      <c r="L151" s="16">
        <v>0</v>
      </c>
      <c r="M151" s="17">
        <v>0</v>
      </c>
      <c r="N151" s="16"/>
      <c r="O151" s="54"/>
    </row>
    <row r="152" spans="2:15" x14ac:dyDescent="0.25">
      <c r="B152" s="72"/>
      <c r="C152" s="75"/>
      <c r="D152" s="75"/>
      <c r="E152" s="78"/>
      <c r="F152" s="19" t="s">
        <v>4</v>
      </c>
      <c r="G152" s="52">
        <f t="shared" si="24"/>
        <v>0</v>
      </c>
      <c r="H152" s="53"/>
      <c r="I152" s="16"/>
      <c r="J152" s="16"/>
      <c r="K152" s="16"/>
      <c r="L152" s="16">
        <v>0</v>
      </c>
      <c r="M152" s="17">
        <v>0</v>
      </c>
      <c r="N152" s="16"/>
      <c r="O152" s="54"/>
    </row>
    <row r="153" spans="2:15" x14ac:dyDescent="0.25">
      <c r="B153" s="73"/>
      <c r="C153" s="76"/>
      <c r="D153" s="76"/>
      <c r="E153" s="79"/>
      <c r="F153" s="21" t="s">
        <v>5</v>
      </c>
      <c r="G153" s="55">
        <f t="shared" si="24"/>
        <v>0</v>
      </c>
      <c r="H153" s="56"/>
      <c r="I153" s="18"/>
      <c r="J153" s="18"/>
      <c r="K153" s="18"/>
      <c r="L153" s="18">
        <v>0</v>
      </c>
      <c r="M153" s="18">
        <v>0</v>
      </c>
      <c r="N153" s="18"/>
      <c r="O153" s="57"/>
    </row>
    <row r="154" spans="2:15" ht="15.75" customHeight="1" x14ac:dyDescent="0.25">
      <c r="B154" s="71" t="s">
        <v>46</v>
      </c>
      <c r="C154" s="74" t="s">
        <v>56</v>
      </c>
      <c r="D154" s="74">
        <v>2020</v>
      </c>
      <c r="E154" s="77" t="s">
        <v>10</v>
      </c>
      <c r="F154" s="35" t="s">
        <v>1</v>
      </c>
      <c r="G154" s="48">
        <f t="shared" si="24"/>
        <v>2500</v>
      </c>
      <c r="H154" s="49">
        <f>SUM(H155:H159)</f>
        <v>0</v>
      </c>
      <c r="I154" s="50">
        <f t="shared" ref="I154:O154" si="28">SUM(I155:I159)</f>
        <v>0</v>
      </c>
      <c r="J154" s="50">
        <f t="shared" si="28"/>
        <v>2500</v>
      </c>
      <c r="K154" s="50">
        <f t="shared" si="28"/>
        <v>0</v>
      </c>
      <c r="L154" s="50">
        <f t="shared" si="28"/>
        <v>0</v>
      </c>
      <c r="M154" s="50">
        <f t="shared" si="28"/>
        <v>0</v>
      </c>
      <c r="N154" s="50">
        <f t="shared" si="28"/>
        <v>0</v>
      </c>
      <c r="O154" s="51">
        <f t="shared" si="28"/>
        <v>0</v>
      </c>
    </row>
    <row r="155" spans="2:15" x14ac:dyDescent="0.25">
      <c r="B155" s="72"/>
      <c r="C155" s="75"/>
      <c r="D155" s="75"/>
      <c r="E155" s="78"/>
      <c r="F155" s="19" t="s">
        <v>2</v>
      </c>
      <c r="G155" s="52">
        <f t="shared" si="24"/>
        <v>0</v>
      </c>
      <c r="H155" s="53"/>
      <c r="I155" s="16"/>
      <c r="J155" s="16"/>
      <c r="K155" s="16"/>
      <c r="L155" s="16">
        <v>0</v>
      </c>
      <c r="M155" s="16">
        <v>0</v>
      </c>
      <c r="N155" s="16"/>
      <c r="O155" s="54"/>
    </row>
    <row r="156" spans="2:15" x14ac:dyDescent="0.25">
      <c r="B156" s="72"/>
      <c r="C156" s="75"/>
      <c r="D156" s="75"/>
      <c r="E156" s="78"/>
      <c r="F156" s="19" t="s">
        <v>3</v>
      </c>
      <c r="G156" s="52">
        <f t="shared" si="24"/>
        <v>0</v>
      </c>
      <c r="H156" s="53"/>
      <c r="I156" s="16"/>
      <c r="J156" s="16"/>
      <c r="K156" s="16"/>
      <c r="L156" s="16">
        <v>0</v>
      </c>
      <c r="M156" s="16">
        <v>0</v>
      </c>
      <c r="N156" s="16"/>
      <c r="O156" s="54"/>
    </row>
    <row r="157" spans="2:15" x14ac:dyDescent="0.25">
      <c r="B157" s="72"/>
      <c r="C157" s="75"/>
      <c r="D157" s="75"/>
      <c r="E157" s="78"/>
      <c r="F157" s="20" t="s">
        <v>55</v>
      </c>
      <c r="G157" s="52">
        <f t="shared" si="24"/>
        <v>2500</v>
      </c>
      <c r="H157" s="53"/>
      <c r="I157" s="16"/>
      <c r="J157" s="16">
        <v>2500</v>
      </c>
      <c r="K157" s="16"/>
      <c r="L157" s="16">
        <v>0</v>
      </c>
      <c r="M157" s="17">
        <v>0</v>
      </c>
      <c r="N157" s="16"/>
      <c r="O157" s="54"/>
    </row>
    <row r="158" spans="2:15" x14ac:dyDescent="0.25">
      <c r="B158" s="72"/>
      <c r="C158" s="75"/>
      <c r="D158" s="75"/>
      <c r="E158" s="78"/>
      <c r="F158" s="19" t="s">
        <v>4</v>
      </c>
      <c r="G158" s="52">
        <f t="shared" si="24"/>
        <v>0</v>
      </c>
      <c r="H158" s="53"/>
      <c r="I158" s="16"/>
      <c r="J158" s="16"/>
      <c r="K158" s="16"/>
      <c r="L158" s="16">
        <v>0</v>
      </c>
      <c r="M158" s="17">
        <v>0</v>
      </c>
      <c r="N158" s="16"/>
      <c r="O158" s="54"/>
    </row>
    <row r="159" spans="2:15" x14ac:dyDescent="0.25">
      <c r="B159" s="73"/>
      <c r="C159" s="76"/>
      <c r="D159" s="76"/>
      <c r="E159" s="79"/>
      <c r="F159" s="21" t="s">
        <v>5</v>
      </c>
      <c r="G159" s="55">
        <f t="shared" si="24"/>
        <v>0</v>
      </c>
      <c r="H159" s="56"/>
      <c r="I159" s="18"/>
      <c r="J159" s="18"/>
      <c r="K159" s="18"/>
      <c r="L159" s="18">
        <v>0</v>
      </c>
      <c r="M159" s="18">
        <v>0</v>
      </c>
      <c r="N159" s="18"/>
      <c r="O159" s="57"/>
    </row>
    <row r="160" spans="2:15" ht="15.75" customHeight="1" x14ac:dyDescent="0.25">
      <c r="B160" s="71" t="s">
        <v>57</v>
      </c>
      <c r="C160" s="74" t="s">
        <v>37</v>
      </c>
      <c r="D160" s="74" t="s">
        <v>78</v>
      </c>
      <c r="E160" s="77" t="s">
        <v>10</v>
      </c>
      <c r="F160" s="35" t="s">
        <v>1</v>
      </c>
      <c r="G160" s="48">
        <f t="shared" si="24"/>
        <v>31386.432290000004</v>
      </c>
      <c r="H160" s="49">
        <f>SUM(H161:H165)</f>
        <v>0</v>
      </c>
      <c r="I160" s="50">
        <f t="shared" ref="I160:O160" si="29">SUM(I161:I165)</f>
        <v>0</v>
      </c>
      <c r="J160" s="50">
        <f t="shared" si="29"/>
        <v>2866.57</v>
      </c>
      <c r="K160" s="50">
        <f t="shared" si="29"/>
        <v>113.6</v>
      </c>
      <c r="L160" s="50">
        <f t="shared" si="29"/>
        <v>18897.63</v>
      </c>
      <c r="M160" s="50">
        <f t="shared" si="29"/>
        <v>9508.6322899999996</v>
      </c>
      <c r="N160" s="50">
        <f t="shared" si="29"/>
        <v>0</v>
      </c>
      <c r="O160" s="51">
        <f t="shared" si="29"/>
        <v>0</v>
      </c>
    </row>
    <row r="161" spans="2:15" x14ac:dyDescent="0.25">
      <c r="B161" s="72"/>
      <c r="C161" s="75"/>
      <c r="D161" s="75"/>
      <c r="E161" s="78"/>
      <c r="F161" s="19" t="s">
        <v>2</v>
      </c>
      <c r="G161" s="52">
        <f t="shared" si="24"/>
        <v>0</v>
      </c>
      <c r="H161" s="53"/>
      <c r="I161" s="16"/>
      <c r="J161" s="16"/>
      <c r="K161" s="16"/>
      <c r="L161" s="16">
        <v>0</v>
      </c>
      <c r="M161" s="16">
        <v>0</v>
      </c>
      <c r="N161" s="16"/>
      <c r="O161" s="54"/>
    </row>
    <row r="162" spans="2:15" x14ac:dyDescent="0.25">
      <c r="B162" s="72"/>
      <c r="C162" s="75"/>
      <c r="D162" s="75"/>
      <c r="E162" s="78"/>
      <c r="F162" s="19" t="s">
        <v>3</v>
      </c>
      <c r="G162" s="52">
        <f t="shared" si="24"/>
        <v>0</v>
      </c>
      <c r="H162" s="53"/>
      <c r="I162" s="16"/>
      <c r="J162" s="16"/>
      <c r="K162" s="16"/>
      <c r="L162" s="16">
        <v>0</v>
      </c>
      <c r="M162" s="16">
        <v>0</v>
      </c>
      <c r="N162" s="16"/>
      <c r="O162" s="54"/>
    </row>
    <row r="163" spans="2:15" x14ac:dyDescent="0.25">
      <c r="B163" s="72"/>
      <c r="C163" s="75"/>
      <c r="D163" s="75"/>
      <c r="E163" s="78"/>
      <c r="F163" s="20" t="s">
        <v>55</v>
      </c>
      <c r="G163" s="52">
        <f t="shared" si="24"/>
        <v>2866.57</v>
      </c>
      <c r="H163" s="53"/>
      <c r="I163" s="16"/>
      <c r="J163" s="16">
        <f>2866.57</f>
        <v>2866.57</v>
      </c>
      <c r="K163" s="16"/>
      <c r="L163" s="16">
        <v>0</v>
      </c>
      <c r="M163" s="17">
        <v>0</v>
      </c>
      <c r="N163" s="16"/>
      <c r="O163" s="54"/>
    </row>
    <row r="164" spans="2:15" x14ac:dyDescent="0.25">
      <c r="B164" s="72"/>
      <c r="C164" s="75"/>
      <c r="D164" s="75"/>
      <c r="E164" s="78"/>
      <c r="F164" s="19" t="s">
        <v>4</v>
      </c>
      <c r="G164" s="52">
        <f t="shared" si="24"/>
        <v>28519.862289999997</v>
      </c>
      <c r="H164" s="53"/>
      <c r="I164" s="16"/>
      <c r="J164" s="16"/>
      <c r="K164" s="16">
        <v>113.6</v>
      </c>
      <c r="L164" s="16">
        <v>18897.63</v>
      </c>
      <c r="M164" s="17">
        <f>9508.63229</f>
        <v>9508.6322899999996</v>
      </c>
      <c r="N164" s="16"/>
      <c r="O164" s="54"/>
    </row>
    <row r="165" spans="2:15" x14ac:dyDescent="0.25">
      <c r="B165" s="73"/>
      <c r="C165" s="76"/>
      <c r="D165" s="76"/>
      <c r="E165" s="79"/>
      <c r="F165" s="21" t="s">
        <v>5</v>
      </c>
      <c r="G165" s="55">
        <f t="shared" si="24"/>
        <v>0</v>
      </c>
      <c r="H165" s="56"/>
      <c r="I165" s="18"/>
      <c r="J165" s="18"/>
      <c r="K165" s="18"/>
      <c r="L165" s="18">
        <v>0</v>
      </c>
      <c r="M165" s="18">
        <v>0</v>
      </c>
      <c r="N165" s="18"/>
      <c r="O165" s="57"/>
    </row>
    <row r="166" spans="2:15" ht="15.75" customHeight="1" x14ac:dyDescent="0.25">
      <c r="B166" s="71" t="s">
        <v>86</v>
      </c>
      <c r="C166" s="74" t="s">
        <v>87</v>
      </c>
      <c r="D166" s="74">
        <v>2023</v>
      </c>
      <c r="E166" s="77" t="s">
        <v>10</v>
      </c>
      <c r="F166" s="35" t="s">
        <v>1</v>
      </c>
      <c r="G166" s="48">
        <f t="shared" si="24"/>
        <v>3203.2032100000001</v>
      </c>
      <c r="H166" s="49">
        <f>SUM(H167:H171)</f>
        <v>0</v>
      </c>
      <c r="I166" s="50">
        <f t="shared" ref="I166:O166" si="30">SUM(I167:I171)</f>
        <v>0</v>
      </c>
      <c r="J166" s="50">
        <f t="shared" si="30"/>
        <v>0</v>
      </c>
      <c r="K166" s="50">
        <f t="shared" si="30"/>
        <v>0</v>
      </c>
      <c r="L166" s="50">
        <f t="shared" si="30"/>
        <v>0</v>
      </c>
      <c r="M166" s="50">
        <f t="shared" si="30"/>
        <v>3203.2032100000001</v>
      </c>
      <c r="N166" s="50">
        <f t="shared" si="30"/>
        <v>0</v>
      </c>
      <c r="O166" s="51">
        <f t="shared" si="30"/>
        <v>0</v>
      </c>
    </row>
    <row r="167" spans="2:15" x14ac:dyDescent="0.25">
      <c r="B167" s="72"/>
      <c r="C167" s="75"/>
      <c r="D167" s="75"/>
      <c r="E167" s="78"/>
      <c r="F167" s="19" t="s">
        <v>2</v>
      </c>
      <c r="G167" s="52">
        <f t="shared" si="24"/>
        <v>0</v>
      </c>
      <c r="H167" s="53"/>
      <c r="I167" s="16"/>
      <c r="J167" s="16"/>
      <c r="K167" s="16"/>
      <c r="L167" s="16"/>
      <c r="M167" s="16">
        <v>0</v>
      </c>
      <c r="N167" s="16"/>
      <c r="O167" s="54"/>
    </row>
    <row r="168" spans="2:15" x14ac:dyDescent="0.25">
      <c r="B168" s="72"/>
      <c r="C168" s="75"/>
      <c r="D168" s="75"/>
      <c r="E168" s="78"/>
      <c r="F168" s="19" t="s">
        <v>3</v>
      </c>
      <c r="G168" s="52">
        <f t="shared" si="24"/>
        <v>0</v>
      </c>
      <c r="H168" s="53"/>
      <c r="I168" s="16"/>
      <c r="J168" s="16"/>
      <c r="K168" s="16"/>
      <c r="L168" s="16"/>
      <c r="M168" s="16">
        <v>0</v>
      </c>
      <c r="N168" s="16"/>
      <c r="O168" s="54"/>
    </row>
    <row r="169" spans="2:15" x14ac:dyDescent="0.25">
      <c r="B169" s="72"/>
      <c r="C169" s="75"/>
      <c r="D169" s="75"/>
      <c r="E169" s="78"/>
      <c r="F169" s="20" t="s">
        <v>55</v>
      </c>
      <c r="G169" s="52">
        <f>SUM(H169:O169)</f>
        <v>3200</v>
      </c>
      <c r="H169" s="53"/>
      <c r="I169" s="16"/>
      <c r="J169" s="16"/>
      <c r="K169" s="16"/>
      <c r="L169" s="16"/>
      <c r="M169" s="17">
        <v>3200</v>
      </c>
      <c r="N169" s="16"/>
      <c r="O169" s="54"/>
    </row>
    <row r="170" spans="2:15" x14ac:dyDescent="0.25">
      <c r="B170" s="72"/>
      <c r="C170" s="75"/>
      <c r="D170" s="75"/>
      <c r="E170" s="78"/>
      <c r="F170" s="19" t="s">
        <v>4</v>
      </c>
      <c r="G170" s="52">
        <f t="shared" si="24"/>
        <v>3.2032099999999999</v>
      </c>
      <c r="H170" s="53"/>
      <c r="I170" s="16"/>
      <c r="J170" s="16"/>
      <c r="K170" s="16"/>
      <c r="L170" s="16"/>
      <c r="M170" s="17">
        <v>3.2032099999999999</v>
      </c>
      <c r="N170" s="16"/>
      <c r="O170" s="54"/>
    </row>
    <row r="171" spans="2:15" ht="16.5" thickBot="1" x14ac:dyDescent="0.3">
      <c r="B171" s="114"/>
      <c r="C171" s="115"/>
      <c r="D171" s="115"/>
      <c r="E171" s="94"/>
      <c r="F171" s="28" t="s">
        <v>5</v>
      </c>
      <c r="G171" s="58">
        <f t="shared" si="24"/>
        <v>0</v>
      </c>
      <c r="H171" s="59"/>
      <c r="I171" s="29"/>
      <c r="J171" s="29"/>
      <c r="K171" s="29"/>
      <c r="L171" s="29"/>
      <c r="M171" s="29">
        <v>0</v>
      </c>
      <c r="N171" s="29"/>
      <c r="O171" s="60"/>
    </row>
    <row r="172" spans="2:15" ht="15.75" customHeight="1" x14ac:dyDescent="0.25">
      <c r="B172" s="80"/>
      <c r="C172" s="83"/>
      <c r="D172" s="83"/>
      <c r="E172" s="86" t="s">
        <v>9</v>
      </c>
      <c r="F172" s="34" t="s">
        <v>1</v>
      </c>
      <c r="G172" s="36">
        <f>SUM(H172:O172)</f>
        <v>1455483.0855500002</v>
      </c>
      <c r="H172" s="37">
        <f t="shared" ref="H172:O177" si="31">SUM(H106,H16)</f>
        <v>112717.48300000001</v>
      </c>
      <c r="I172" s="38">
        <f t="shared" si="31"/>
        <v>143877.99485000002</v>
      </c>
      <c r="J172" s="38">
        <f t="shared" si="31"/>
        <v>218577.76193000001</v>
      </c>
      <c r="K172" s="38">
        <f t="shared" si="31"/>
        <v>392022.58838000003</v>
      </c>
      <c r="L172" s="38">
        <f t="shared" si="31"/>
        <v>407596.19046000007</v>
      </c>
      <c r="M172" s="38">
        <f t="shared" si="31"/>
        <v>180691.06692999997</v>
      </c>
      <c r="N172" s="38">
        <f t="shared" si="31"/>
        <v>0</v>
      </c>
      <c r="O172" s="39">
        <f t="shared" si="31"/>
        <v>0</v>
      </c>
    </row>
    <row r="173" spans="2:15" x14ac:dyDescent="0.25">
      <c r="B173" s="81"/>
      <c r="C173" s="84"/>
      <c r="D173" s="84"/>
      <c r="E173" s="87"/>
      <c r="F173" s="13" t="s">
        <v>2</v>
      </c>
      <c r="G173" s="40">
        <f t="shared" si="24"/>
        <v>877982.24835000001</v>
      </c>
      <c r="H173" s="41">
        <f t="shared" si="31"/>
        <v>57000</v>
      </c>
      <c r="I173" s="42">
        <f t="shared" si="31"/>
        <v>84401.142000000022</v>
      </c>
      <c r="J173" s="42">
        <f t="shared" si="31"/>
        <v>121770</v>
      </c>
      <c r="K173" s="42">
        <f t="shared" si="31"/>
        <v>241334.43806000001</v>
      </c>
      <c r="L173" s="42">
        <f t="shared" si="31"/>
        <v>268352.46828999999</v>
      </c>
      <c r="M173" s="42">
        <f t="shared" si="31"/>
        <v>105124.2</v>
      </c>
      <c r="N173" s="42">
        <f t="shared" si="31"/>
        <v>0</v>
      </c>
      <c r="O173" s="43">
        <f t="shared" si="31"/>
        <v>0</v>
      </c>
    </row>
    <row r="174" spans="2:15" x14ac:dyDescent="0.25">
      <c r="B174" s="81"/>
      <c r="C174" s="84"/>
      <c r="D174" s="84"/>
      <c r="E174" s="87"/>
      <c r="F174" s="13" t="s">
        <v>3</v>
      </c>
      <c r="G174" s="40">
        <f t="shared" si="24"/>
        <v>41220.520170000003</v>
      </c>
      <c r="H174" s="41">
        <f t="shared" si="31"/>
        <v>3000</v>
      </c>
      <c r="I174" s="42">
        <f t="shared" si="31"/>
        <v>11239.693000000001</v>
      </c>
      <c r="J174" s="42">
        <f t="shared" si="31"/>
        <v>3083.8000099999999</v>
      </c>
      <c r="K174" s="42">
        <f t="shared" si="31"/>
        <v>17437.721600000001</v>
      </c>
      <c r="L174" s="42">
        <f t="shared" si="31"/>
        <v>5503.6310100000001</v>
      </c>
      <c r="M174" s="42">
        <f t="shared" si="31"/>
        <v>955.67455000000007</v>
      </c>
      <c r="N174" s="42">
        <f t="shared" si="31"/>
        <v>0</v>
      </c>
      <c r="O174" s="43">
        <f t="shared" si="31"/>
        <v>0</v>
      </c>
    </row>
    <row r="175" spans="2:15" x14ac:dyDescent="0.25">
      <c r="B175" s="81"/>
      <c r="C175" s="84"/>
      <c r="D175" s="84"/>
      <c r="E175" s="87"/>
      <c r="F175" s="14" t="s">
        <v>55</v>
      </c>
      <c r="G175" s="40">
        <f>SUM(H175:O175)</f>
        <v>276844.06316000002</v>
      </c>
      <c r="H175" s="41">
        <f t="shared" si="31"/>
        <v>0</v>
      </c>
      <c r="I175" s="42">
        <f t="shared" si="31"/>
        <v>0</v>
      </c>
      <c r="J175" s="42">
        <f t="shared" si="31"/>
        <v>55973.88</v>
      </c>
      <c r="K175" s="42">
        <f t="shared" si="31"/>
        <v>96900.9</v>
      </c>
      <c r="L175" s="42">
        <f t="shared" si="31"/>
        <v>76368</v>
      </c>
      <c r="M175" s="42">
        <f t="shared" si="31"/>
        <v>47601.283159999999</v>
      </c>
      <c r="N175" s="42">
        <f t="shared" si="31"/>
        <v>0</v>
      </c>
      <c r="O175" s="43">
        <f t="shared" si="31"/>
        <v>0</v>
      </c>
    </row>
    <row r="176" spans="2:15" x14ac:dyDescent="0.25">
      <c r="B176" s="81"/>
      <c r="C176" s="84"/>
      <c r="D176" s="84"/>
      <c r="E176" s="87"/>
      <c r="F176" s="13" t="s">
        <v>4</v>
      </c>
      <c r="G176" s="40">
        <f t="shared" si="24"/>
        <v>259436.25387000002</v>
      </c>
      <c r="H176" s="41">
        <f t="shared" si="31"/>
        <v>52717.483000000007</v>
      </c>
      <c r="I176" s="42">
        <f t="shared" si="31"/>
        <v>48237.159849999996</v>
      </c>
      <c r="J176" s="42">
        <f t="shared" si="31"/>
        <v>37750.081919999997</v>
      </c>
      <c r="K176" s="42">
        <f t="shared" si="31"/>
        <v>36349.528720000002</v>
      </c>
      <c r="L176" s="42">
        <f t="shared" si="31"/>
        <v>57372.091160000011</v>
      </c>
      <c r="M176" s="42">
        <f t="shared" si="31"/>
        <v>27009.909219999998</v>
      </c>
      <c r="N176" s="42">
        <f t="shared" si="31"/>
        <v>0</v>
      </c>
      <c r="O176" s="43">
        <f t="shared" si="31"/>
        <v>0</v>
      </c>
    </row>
    <row r="177" spans="2:15" ht="16.5" thickBot="1" x14ac:dyDescent="0.3">
      <c r="B177" s="111"/>
      <c r="C177" s="112"/>
      <c r="D177" s="112"/>
      <c r="E177" s="113"/>
      <c r="F177" s="27" t="s">
        <v>63</v>
      </c>
      <c r="G177" s="61">
        <f>SUM(H177:O177)</f>
        <v>0</v>
      </c>
      <c r="H177" s="62">
        <f t="shared" si="31"/>
        <v>0</v>
      </c>
      <c r="I177" s="63">
        <f t="shared" si="31"/>
        <v>0</v>
      </c>
      <c r="J177" s="63">
        <f t="shared" si="31"/>
        <v>0</v>
      </c>
      <c r="K177" s="63">
        <f t="shared" si="31"/>
        <v>0</v>
      </c>
      <c r="L177" s="63">
        <f t="shared" si="31"/>
        <v>0</v>
      </c>
      <c r="M177" s="63">
        <f t="shared" si="31"/>
        <v>0</v>
      </c>
      <c r="N177" s="63">
        <f t="shared" si="31"/>
        <v>0</v>
      </c>
      <c r="O177" s="64">
        <f t="shared" si="31"/>
        <v>0</v>
      </c>
    </row>
    <row r="179" spans="2:15" x14ac:dyDescent="0.25">
      <c r="K179" s="11"/>
      <c r="M179" s="11"/>
      <c r="N179" s="11"/>
    </row>
    <row r="181" spans="2:15" x14ac:dyDescent="0.25">
      <c r="H181" s="12"/>
    </row>
  </sheetData>
  <mergeCells count="123">
    <mergeCell ref="D142:D147"/>
    <mergeCell ref="E142:E147"/>
    <mergeCell ref="B136:B141"/>
    <mergeCell ref="C136:C141"/>
    <mergeCell ref="D136:D141"/>
    <mergeCell ref="E136:E141"/>
    <mergeCell ref="B100:B105"/>
    <mergeCell ref="C100:C105"/>
    <mergeCell ref="D100:D105"/>
    <mergeCell ref="E100:E105"/>
    <mergeCell ref="B130:B135"/>
    <mergeCell ref="C130:C135"/>
    <mergeCell ref="D130:D135"/>
    <mergeCell ref="E130:E135"/>
    <mergeCell ref="B118:B123"/>
    <mergeCell ref="C118:C123"/>
    <mergeCell ref="D118:D123"/>
    <mergeCell ref="E118:E123"/>
    <mergeCell ref="B124:B129"/>
    <mergeCell ref="C124:C129"/>
    <mergeCell ref="D124:D129"/>
    <mergeCell ref="E124:E129"/>
    <mergeCell ref="B112:B117"/>
    <mergeCell ref="C112:C117"/>
    <mergeCell ref="B88:B93"/>
    <mergeCell ref="C88:C93"/>
    <mergeCell ref="D88:D93"/>
    <mergeCell ref="E88:E93"/>
    <mergeCell ref="B94:B99"/>
    <mergeCell ref="C94:C99"/>
    <mergeCell ref="B76:B81"/>
    <mergeCell ref="C76:C81"/>
    <mergeCell ref="D76:D81"/>
    <mergeCell ref="E76:E81"/>
    <mergeCell ref="B172:B177"/>
    <mergeCell ref="C172:C177"/>
    <mergeCell ref="D172:D177"/>
    <mergeCell ref="E172:E177"/>
    <mergeCell ref="B166:B171"/>
    <mergeCell ref="C166:C171"/>
    <mergeCell ref="D166:D171"/>
    <mergeCell ref="E166:E171"/>
    <mergeCell ref="C58:C63"/>
    <mergeCell ref="D58:D63"/>
    <mergeCell ref="E58:E63"/>
    <mergeCell ref="B64:B69"/>
    <mergeCell ref="C64:C69"/>
    <mergeCell ref="D64:D69"/>
    <mergeCell ref="E64:E69"/>
    <mergeCell ref="B70:B75"/>
    <mergeCell ref="C70:C75"/>
    <mergeCell ref="D70:D75"/>
    <mergeCell ref="E70:E75"/>
    <mergeCell ref="D94:D99"/>
    <mergeCell ref="E94:E99"/>
    <mergeCell ref="B82:B87"/>
    <mergeCell ref="C82:C87"/>
    <mergeCell ref="D82:D87"/>
    <mergeCell ref="B40:B45"/>
    <mergeCell ref="C40:C45"/>
    <mergeCell ref="D40:D45"/>
    <mergeCell ref="E40:E45"/>
    <mergeCell ref="B46:B51"/>
    <mergeCell ref="C46:C51"/>
    <mergeCell ref="D52:D57"/>
    <mergeCell ref="E52:E57"/>
    <mergeCell ref="B58:B63"/>
    <mergeCell ref="B52:B57"/>
    <mergeCell ref="C52:C57"/>
    <mergeCell ref="D112:D117"/>
    <mergeCell ref="E112:E117"/>
    <mergeCell ref="D10:D14"/>
    <mergeCell ref="E10:E14"/>
    <mergeCell ref="D22:D27"/>
    <mergeCell ref="E22:E27"/>
    <mergeCell ref="D46:D51"/>
    <mergeCell ref="E46:E51"/>
    <mergeCell ref="E82:E87"/>
    <mergeCell ref="H7:O7"/>
    <mergeCell ref="H3:O3"/>
    <mergeCell ref="B5:O5"/>
    <mergeCell ref="B7:B8"/>
    <mergeCell ref="C7:C8"/>
    <mergeCell ref="D7:D8"/>
    <mergeCell ref="C34:C39"/>
    <mergeCell ref="D34:D39"/>
    <mergeCell ref="E34:E39"/>
    <mergeCell ref="B34:B39"/>
    <mergeCell ref="B16:B21"/>
    <mergeCell ref="C16:C21"/>
    <mergeCell ref="D16:D21"/>
    <mergeCell ref="E16:E21"/>
    <mergeCell ref="B22:B27"/>
    <mergeCell ref="C22:C27"/>
    <mergeCell ref="B15:E15"/>
    <mergeCell ref="B28:B33"/>
    <mergeCell ref="C28:C33"/>
    <mergeCell ref="D28:D33"/>
    <mergeCell ref="E28:E33"/>
    <mergeCell ref="H1:O1"/>
    <mergeCell ref="B160:B165"/>
    <mergeCell ref="C160:C165"/>
    <mergeCell ref="D160:D165"/>
    <mergeCell ref="E160:E165"/>
    <mergeCell ref="B154:B159"/>
    <mergeCell ref="C154:C159"/>
    <mergeCell ref="D154:D159"/>
    <mergeCell ref="E154:E159"/>
    <mergeCell ref="B148:B153"/>
    <mergeCell ref="C148:C153"/>
    <mergeCell ref="D148:D153"/>
    <mergeCell ref="E148:E153"/>
    <mergeCell ref="B106:B111"/>
    <mergeCell ref="C106:C111"/>
    <mergeCell ref="D106:D111"/>
    <mergeCell ref="E106:E111"/>
    <mergeCell ref="B142:B147"/>
    <mergeCell ref="C142:C147"/>
    <mergeCell ref="B10:B14"/>
    <mergeCell ref="C10:C14"/>
    <mergeCell ref="E7:E8"/>
    <mergeCell ref="F7:F8"/>
    <mergeCell ref="G7:G8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56" fitToHeight="0" orientation="landscape" r:id="rId1"/>
  <rowBreaks count="3" manualBreakCount="3">
    <brk id="51" min="1" max="14" man="1"/>
    <brk id="93" min="1" max="14" man="1"/>
    <brk id="135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2023-07-24T08:37:52Z</dcterms:modified>
</cp:coreProperties>
</file>